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jcb/Desktop/RWAP Docs/DB Materials/Financial Model/"/>
    </mc:Choice>
  </mc:AlternateContent>
  <xr:revisionPtr revIDLastSave="0" documentId="13_ncr:1_{128B5B65-B573-B84D-A584-0B3068E7FD3F}" xr6:coauthVersionLast="47" xr6:coauthVersionMax="47" xr10:uidLastSave="{00000000-0000-0000-0000-000000000000}"/>
  <bookViews>
    <workbookView xWindow="8980" yWindow="600" windowWidth="34000" windowHeight="13800" xr2:uid="{00000000-000D-0000-FFFF-FFFF00000000}"/>
  </bookViews>
  <sheets>
    <sheet name="1. TOC" sheetId="1" r:id="rId1"/>
    <sheet name="2. Assumptions -- Read Me" sheetId="2" r:id="rId2"/>
    <sheet name="3. Summary - Pro Forma" sheetId="3" r:id="rId3"/>
    <sheet name="4. Cap Table" sheetId="10" r:id="rId4"/>
    <sheet name="5. Offering -- 50% to 142%" sheetId="23" r:id="rId5"/>
    <sheet name="6. Income Statement" sheetId="4" r:id="rId6"/>
    <sheet name="7. Balance Sheet" sheetId="5" r:id="rId7"/>
    <sheet name="8. Founders Initial Investment" sheetId="9" r:id="rId8"/>
    <sheet name="9. Cash Flow" sheetId="6" r:id="rId9"/>
    <sheet name="10. Costs" sheetId="8" r:id="rId10"/>
    <sheet name="11. Staff" sheetId="7" r:id="rId11"/>
    <sheet name="12. Revenue Product 1 -- Invest" sheetId="11" r:id="rId12"/>
    <sheet name="13. Revenue Product 2 -- Real E" sheetId="12" r:id="rId13"/>
    <sheet name="14. Revenue Product 3 -- Platfo" sheetId="13" r:id="rId14"/>
    <sheet name="15. Revenue Product 4 -- SaaS W" sheetId="14" r:id="rId15"/>
    <sheet name="16. Revenue Product 5 -- Retain" sheetId="15" r:id="rId16"/>
    <sheet name="17. Worksheet Mareting Costs to" sheetId="16" r:id="rId17"/>
    <sheet name="18. AI and Investment COGS" sheetId="17" r:id="rId18"/>
    <sheet name="19. WorkSheet-Revenue Produ" sheetId="18"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7" l="1"/>
  <c r="F38" i="23" l="1"/>
  <c r="F34" i="23"/>
  <c r="F35" i="23" s="1"/>
  <c r="M45" i="23"/>
  <c r="M46" i="23"/>
  <c r="M47" i="23"/>
  <c r="M48" i="23"/>
  <c r="M49" i="23"/>
  <c r="M44" i="23"/>
  <c r="K45" i="23"/>
  <c r="K46" i="23"/>
  <c r="K47" i="23"/>
  <c r="K48" i="23"/>
  <c r="K49" i="23"/>
  <c r="K44" i="23"/>
  <c r="I44" i="23"/>
  <c r="I45" i="23"/>
  <c r="I46" i="23"/>
  <c r="I47" i="23"/>
  <c r="I48" i="23"/>
  <c r="I49" i="23"/>
  <c r="G45" i="23"/>
  <c r="G46" i="23"/>
  <c r="G47" i="23"/>
  <c r="G48" i="23"/>
  <c r="G49" i="23"/>
  <c r="G44" i="23"/>
  <c r="L46" i="23"/>
  <c r="L49" i="23" s="1"/>
  <c r="F49" i="23"/>
  <c r="L44" i="23"/>
  <c r="F46" i="23"/>
  <c r="F44" i="23"/>
  <c r="H46" i="23"/>
  <c r="H44" i="23"/>
  <c r="H49" i="23" s="1"/>
  <c r="J46" i="23"/>
  <c r="J44" i="23"/>
  <c r="J49" i="23" s="1"/>
  <c r="J17" i="23"/>
  <c r="J18" i="23"/>
  <c r="J19" i="23"/>
  <c r="J15" i="23"/>
  <c r="H15" i="23"/>
  <c r="K15" i="23" s="1"/>
  <c r="F18" i="23"/>
  <c r="I18" i="23" s="1"/>
  <c r="F19" i="23"/>
  <c r="I19" i="23" s="1"/>
  <c r="F17" i="23"/>
  <c r="F20" i="23" s="1"/>
  <c r="F23" i="23" s="1"/>
  <c r="D18" i="23"/>
  <c r="D19" i="23"/>
  <c r="D17" i="23"/>
  <c r="F14" i="23"/>
  <c r="F15" i="23"/>
  <c r="I15" i="23" s="1"/>
  <c r="D16" i="23"/>
  <c r="F9" i="23"/>
  <c r="F8" i="10"/>
  <c r="F23" i="10"/>
  <c r="K23" i="3"/>
  <c r="K24" i="3"/>
  <c r="K22" i="3"/>
  <c r="K20" i="3"/>
  <c r="K21" i="3"/>
  <c r="K19" i="3"/>
  <c r="K17" i="3"/>
  <c r="K18" i="3"/>
  <c r="K16" i="3"/>
  <c r="K14" i="3"/>
  <c r="K15" i="3"/>
  <c r="K13" i="3"/>
  <c r="L3" i="3"/>
  <c r="M6" i="3"/>
  <c r="N6" i="3"/>
  <c r="O6" i="3"/>
  <c r="P6" i="3"/>
  <c r="L6" i="3"/>
  <c r="H25" i="18"/>
  <c r="G25" i="18"/>
  <c r="H10" i="18"/>
  <c r="H34" i="18" s="1"/>
  <c r="J34" i="18" s="1"/>
  <c r="E16" i="11" s="1"/>
  <c r="G9" i="18"/>
  <c r="K14" i="17"/>
  <c r="J14" i="17"/>
  <c r="H14" i="17"/>
  <c r="G14" i="17"/>
  <c r="E14" i="17"/>
  <c r="D14" i="17"/>
  <c r="I22" i="16"/>
  <c r="L3" i="13" s="1"/>
  <c r="I21" i="16"/>
  <c r="H21" i="16"/>
  <c r="H22" i="16" s="1"/>
  <c r="K3" i="13" s="1"/>
  <c r="G21" i="16"/>
  <c r="G22" i="16" s="1"/>
  <c r="J3" i="13" s="1"/>
  <c r="F21" i="16"/>
  <c r="F22" i="16" s="1"/>
  <c r="E21" i="16"/>
  <c r="E22" i="16" s="1"/>
  <c r="H3" i="13" s="1"/>
  <c r="I18" i="16"/>
  <c r="G8" i="11" s="1"/>
  <c r="G12" i="11" s="1"/>
  <c r="G18" i="16"/>
  <c r="E8" i="11" s="1"/>
  <c r="F18" i="16"/>
  <c r="I17" i="16"/>
  <c r="H17" i="16"/>
  <c r="H18" i="16" s="1"/>
  <c r="F8" i="11" s="1"/>
  <c r="F12" i="11" s="1"/>
  <c r="G17" i="16"/>
  <c r="F17" i="16"/>
  <c r="E17" i="16"/>
  <c r="E18" i="16" s="1"/>
  <c r="I14" i="16"/>
  <c r="J20" i="12" s="1"/>
  <c r="E14" i="16"/>
  <c r="B22" i="12" s="1"/>
  <c r="I13" i="16"/>
  <c r="H13" i="16"/>
  <c r="H14" i="16" s="1"/>
  <c r="H20" i="12" s="1"/>
  <c r="G13" i="16"/>
  <c r="G14" i="16" s="1"/>
  <c r="F20" i="12" s="1"/>
  <c r="F13" i="16"/>
  <c r="F14" i="16" s="1"/>
  <c r="D20" i="12" s="1"/>
  <c r="D24" i="12" s="1"/>
  <c r="E25" i="12" s="1"/>
  <c r="E13" i="16"/>
  <c r="G5" i="15"/>
  <c r="F5" i="15"/>
  <c r="E5" i="15"/>
  <c r="D5" i="15"/>
  <c r="C5" i="15"/>
  <c r="G4" i="14"/>
  <c r="F4" i="14"/>
  <c r="E4" i="14"/>
  <c r="D4" i="14"/>
  <c r="C4" i="14"/>
  <c r="D13" i="13"/>
  <c r="E10" i="13"/>
  <c r="E13" i="13" s="1"/>
  <c r="D10" i="13"/>
  <c r="C10" i="13"/>
  <c r="E4" i="13"/>
  <c r="D4" i="13"/>
  <c r="D16" i="13" s="1"/>
  <c r="C4" i="13"/>
  <c r="C16" i="13" s="1"/>
  <c r="I3" i="13"/>
  <c r="B24" i="12"/>
  <c r="C25" i="12" s="1"/>
  <c r="B20" i="12"/>
  <c r="C21" i="12" s="1"/>
  <c r="F13" i="12"/>
  <c r="D13" i="12"/>
  <c r="F11" i="12"/>
  <c r="F9" i="12"/>
  <c r="E9" i="12"/>
  <c r="D9" i="12"/>
  <c r="F7" i="12"/>
  <c r="E7" i="12"/>
  <c r="D7" i="12"/>
  <c r="D11" i="12" s="1"/>
  <c r="E12" i="11"/>
  <c r="E3" i="15" s="1"/>
  <c r="E7" i="15" s="1"/>
  <c r="C12" i="11"/>
  <c r="D8" i="11"/>
  <c r="D12" i="11" s="1"/>
  <c r="C8" i="11"/>
  <c r="B5" i="11"/>
  <c r="B4" i="11"/>
  <c r="C15" i="10"/>
  <c r="B22" i="10" s="1"/>
  <c r="F22" i="10" s="1"/>
  <c r="H52" i="8"/>
  <c r="I33" i="4" s="1"/>
  <c r="H51" i="8"/>
  <c r="H37" i="8"/>
  <c r="H36" i="8"/>
  <c r="G30" i="4" s="1"/>
  <c r="H30" i="4" s="1"/>
  <c r="I30" i="4" s="1"/>
  <c r="H11" i="8"/>
  <c r="E29" i="4" s="1"/>
  <c r="F29" i="4" s="1"/>
  <c r="G29" i="4" s="1"/>
  <c r="H29" i="4" s="1"/>
  <c r="I29" i="4" s="1"/>
  <c r="H10" i="8"/>
  <c r="H9" i="8"/>
  <c r="E36" i="7"/>
  <c r="I36" i="7" s="1"/>
  <c r="J36" i="7" s="1"/>
  <c r="K36" i="7" s="1"/>
  <c r="I35" i="7"/>
  <c r="J35" i="7" s="1"/>
  <c r="K35" i="7" s="1"/>
  <c r="E35" i="7"/>
  <c r="J34" i="7"/>
  <c r="K34" i="7" s="1"/>
  <c r="E34" i="7"/>
  <c r="I34" i="7" s="1"/>
  <c r="J33" i="7"/>
  <c r="K33" i="7" s="1"/>
  <c r="I33" i="7"/>
  <c r="E33" i="7"/>
  <c r="K32" i="7"/>
  <c r="I32" i="7"/>
  <c r="J32" i="7" s="1"/>
  <c r="E32" i="7"/>
  <c r="E31" i="7"/>
  <c r="I31" i="7" s="1"/>
  <c r="J31" i="7" s="1"/>
  <c r="K31" i="7" s="1"/>
  <c r="E28" i="7"/>
  <c r="G28" i="7" s="1"/>
  <c r="H28" i="7" s="1"/>
  <c r="I28" i="7" s="1"/>
  <c r="J28" i="7" s="1"/>
  <c r="K28" i="7" s="1"/>
  <c r="G27" i="7"/>
  <c r="H27" i="7" s="1"/>
  <c r="I27" i="7" s="1"/>
  <c r="J27" i="7" s="1"/>
  <c r="K27" i="7" s="1"/>
  <c r="E27" i="7"/>
  <c r="H26" i="7"/>
  <c r="I26" i="7" s="1"/>
  <c r="J26" i="7" s="1"/>
  <c r="K26" i="7" s="1"/>
  <c r="G26" i="7"/>
  <c r="E26" i="7"/>
  <c r="H25" i="7"/>
  <c r="I25" i="7" s="1"/>
  <c r="J25" i="7" s="1"/>
  <c r="K25" i="7" s="1"/>
  <c r="G25" i="7"/>
  <c r="E25" i="7"/>
  <c r="G24" i="7"/>
  <c r="H24" i="7" s="1"/>
  <c r="I24" i="7" s="1"/>
  <c r="J24" i="7" s="1"/>
  <c r="K24" i="7" s="1"/>
  <c r="E24" i="7"/>
  <c r="I23" i="7"/>
  <c r="J23" i="7" s="1"/>
  <c r="K23" i="7" s="1"/>
  <c r="E23" i="7"/>
  <c r="G23" i="7" s="1"/>
  <c r="H23" i="7" s="1"/>
  <c r="E22" i="7"/>
  <c r="G22" i="7" s="1"/>
  <c r="H22" i="7" s="1"/>
  <c r="I22" i="7" s="1"/>
  <c r="J22" i="7" s="1"/>
  <c r="K22" i="7" s="1"/>
  <c r="E21" i="7"/>
  <c r="G21" i="7" s="1"/>
  <c r="H21" i="7" s="1"/>
  <c r="I21" i="7" s="1"/>
  <c r="J21" i="7" s="1"/>
  <c r="K21" i="7" s="1"/>
  <c r="E20" i="7"/>
  <c r="G20" i="7" s="1"/>
  <c r="H20" i="7" s="1"/>
  <c r="I20" i="7" s="1"/>
  <c r="J20" i="7" s="1"/>
  <c r="K20" i="7" s="1"/>
  <c r="I19" i="7"/>
  <c r="J19" i="7" s="1"/>
  <c r="K19" i="7" s="1"/>
  <c r="G19" i="7"/>
  <c r="H19" i="7" s="1"/>
  <c r="E19" i="7"/>
  <c r="G18" i="7"/>
  <c r="E18" i="7"/>
  <c r="F8" i="7"/>
  <c r="G8" i="7" s="1"/>
  <c r="H8" i="7" s="1"/>
  <c r="I8" i="7" s="1"/>
  <c r="I7" i="7"/>
  <c r="G7" i="7"/>
  <c r="H7" i="7" s="1"/>
  <c r="F7" i="7"/>
  <c r="E7" i="7"/>
  <c r="E6" i="7"/>
  <c r="F6" i="7" s="1"/>
  <c r="G6" i="7" s="1"/>
  <c r="H6" i="7" s="1"/>
  <c r="I6" i="7" s="1"/>
  <c r="E5" i="7"/>
  <c r="I30" i="6"/>
  <c r="H30" i="6"/>
  <c r="G30" i="6"/>
  <c r="F30" i="6"/>
  <c r="E29" i="6"/>
  <c r="E30" i="6" s="1"/>
  <c r="D37" i="3" s="1"/>
  <c r="I21" i="6"/>
  <c r="H21" i="6"/>
  <c r="G36" i="3" s="1"/>
  <c r="G21" i="6"/>
  <c r="F36" i="3" s="1"/>
  <c r="F21" i="6"/>
  <c r="E21" i="6"/>
  <c r="D36" i="3" s="1"/>
  <c r="H39" i="5"/>
  <c r="G39" i="5"/>
  <c r="F39" i="5"/>
  <c r="E39" i="5"/>
  <c r="D39" i="5"/>
  <c r="G34" i="5"/>
  <c r="F34" i="5"/>
  <c r="E34" i="5"/>
  <c r="D34" i="5"/>
  <c r="H33" i="5"/>
  <c r="G33" i="5"/>
  <c r="G30" i="3" s="1"/>
  <c r="F33" i="5"/>
  <c r="E33" i="5"/>
  <c r="E30" i="3" s="1"/>
  <c r="D33" i="5"/>
  <c r="D30" i="3" s="1"/>
  <c r="H29" i="5"/>
  <c r="G29" i="5"/>
  <c r="F29" i="5"/>
  <c r="E29" i="5"/>
  <c r="D29" i="5"/>
  <c r="D29" i="3" s="1"/>
  <c r="H21" i="5"/>
  <c r="H26" i="3" s="1"/>
  <c r="G21" i="5"/>
  <c r="G26" i="3" s="1"/>
  <c r="F21" i="5"/>
  <c r="F26" i="3" s="1"/>
  <c r="E21" i="5"/>
  <c r="D21" i="5"/>
  <c r="D26" i="3" s="1"/>
  <c r="D15" i="5"/>
  <c r="E15" i="5" s="1"/>
  <c r="F15" i="5" s="1"/>
  <c r="G15" i="5" s="1"/>
  <c r="H15" i="5" s="1"/>
  <c r="H14" i="5"/>
  <c r="H16" i="5" s="1"/>
  <c r="H25" i="3" s="1"/>
  <c r="G14" i="5"/>
  <c r="G16" i="5" s="1"/>
  <c r="G25" i="3" s="1"/>
  <c r="F14" i="5"/>
  <c r="F16" i="5" s="1"/>
  <c r="F25" i="3" s="1"/>
  <c r="E14" i="5"/>
  <c r="E16" i="5" s="1"/>
  <c r="E25" i="3" s="1"/>
  <c r="D14" i="5"/>
  <c r="D16" i="5" s="1"/>
  <c r="D25" i="3" s="1"/>
  <c r="I42" i="4"/>
  <c r="H42" i="4"/>
  <c r="G42" i="4"/>
  <c r="F42" i="4"/>
  <c r="E35" i="4"/>
  <c r="D9" i="3" s="1"/>
  <c r="I32" i="4"/>
  <c r="G31" i="4"/>
  <c r="H31" i="4" s="1"/>
  <c r="I31" i="4" s="1"/>
  <c r="E28" i="4"/>
  <c r="F28" i="4" s="1"/>
  <c r="F35" i="4" s="1"/>
  <c r="E9" i="3" s="1"/>
  <c r="H37" i="3"/>
  <c r="G37" i="3"/>
  <c r="F37" i="3"/>
  <c r="E37" i="3"/>
  <c r="H36" i="3"/>
  <c r="E36" i="3"/>
  <c r="H30" i="3"/>
  <c r="F30" i="3"/>
  <c r="H29" i="3"/>
  <c r="G29" i="3"/>
  <c r="F29" i="3"/>
  <c r="E29" i="3"/>
  <c r="E26" i="3"/>
  <c r="H14" i="3"/>
  <c r="G14" i="3"/>
  <c r="F14" i="3"/>
  <c r="E14" i="3"/>
  <c r="D14" i="3"/>
  <c r="H9" i="23" l="1"/>
  <c r="I17" i="23"/>
  <c r="G3" i="15"/>
  <c r="G7" i="15" s="1"/>
  <c r="F3" i="15"/>
  <c r="F7" i="15" s="1"/>
  <c r="G16" i="11"/>
  <c r="I4" i="13"/>
  <c r="F15" i="4" s="1"/>
  <c r="E9" i="7"/>
  <c r="E46" i="4" s="1"/>
  <c r="F5" i="7"/>
  <c r="G28" i="4"/>
  <c r="G28" i="18"/>
  <c r="G33" i="18" s="1"/>
  <c r="J33" i="18" s="1"/>
  <c r="F16" i="11"/>
  <c r="G30" i="18"/>
  <c r="J30" i="18" s="1"/>
  <c r="H4" i="13"/>
  <c r="E14" i="4" s="1"/>
  <c r="E21" i="12"/>
  <c r="D22" i="12"/>
  <c r="G21" i="12"/>
  <c r="F24" i="12"/>
  <c r="G25" i="12" s="1"/>
  <c r="F22" i="12"/>
  <c r="H24" i="12"/>
  <c r="I25" i="12" s="1"/>
  <c r="I21" i="12"/>
  <c r="H22" i="12"/>
  <c r="E16" i="13"/>
  <c r="L4" i="13"/>
  <c r="I16" i="4" s="1"/>
  <c r="D3" i="15"/>
  <c r="D7" i="15" s="1"/>
  <c r="D9" i="15" s="1"/>
  <c r="F23" i="4" s="1"/>
  <c r="K21" i="12"/>
  <c r="J24" i="12"/>
  <c r="K25" i="12" s="1"/>
  <c r="J22" i="12"/>
  <c r="E11" i="12"/>
  <c r="E13" i="12" s="1"/>
  <c r="C23" i="12" s="1"/>
  <c r="C28" i="12" s="1"/>
  <c r="C3" i="15"/>
  <c r="C7" i="15" s="1"/>
  <c r="C9" i="15" s="1"/>
  <c r="E22" i="4" s="1"/>
  <c r="D16" i="11"/>
  <c r="G40" i="7"/>
  <c r="E47" i="4" s="1"/>
  <c r="B24" i="10"/>
  <c r="F24" i="10" s="1"/>
  <c r="H18" i="7"/>
  <c r="H34" i="5"/>
  <c r="B28" i="10"/>
  <c r="I20" i="23" l="1"/>
  <c r="G15" i="11"/>
  <c r="G20" i="11" s="1"/>
  <c r="I8" i="4" s="1"/>
  <c r="F15" i="11"/>
  <c r="F20" i="11" s="1"/>
  <c r="H8" i="4" s="1"/>
  <c r="C15" i="11"/>
  <c r="C20" i="11" s="1"/>
  <c r="E6" i="4" s="1"/>
  <c r="E15" i="11"/>
  <c r="E20" i="11" s="1"/>
  <c r="G8" i="4" s="1"/>
  <c r="D15" i="11"/>
  <c r="D20" i="11" s="1"/>
  <c r="F7" i="4" s="1"/>
  <c r="C6" i="14"/>
  <c r="C8" i="14" s="1"/>
  <c r="E18" i="4" s="1"/>
  <c r="E10" i="4"/>
  <c r="B34" i="10"/>
  <c r="K23" i="12"/>
  <c r="K28" i="12" s="1"/>
  <c r="E23" i="12"/>
  <c r="E28" i="12" s="1"/>
  <c r="G5" i="7"/>
  <c r="F9" i="7"/>
  <c r="F46" i="4" s="1"/>
  <c r="F53" i="4" s="1"/>
  <c r="F54" i="4" s="1"/>
  <c r="E11" i="3" s="1"/>
  <c r="E53" i="4"/>
  <c r="E9" i="15"/>
  <c r="G24" i="4" s="1"/>
  <c r="K4" i="13"/>
  <c r="H16" i="4" s="1"/>
  <c r="J4" i="13"/>
  <c r="G16" i="4" s="1"/>
  <c r="I23" i="12"/>
  <c r="I28" i="12" s="1"/>
  <c r="H28" i="4"/>
  <c r="G35" i="4"/>
  <c r="F9" i="3" s="1"/>
  <c r="F9" i="15"/>
  <c r="H24" i="4" s="1"/>
  <c r="G23" i="12"/>
  <c r="G28" i="12" s="1"/>
  <c r="H40" i="7"/>
  <c r="F47" i="4" s="1"/>
  <c r="I18" i="7"/>
  <c r="G9" i="15"/>
  <c r="I24" i="4" s="1"/>
  <c r="E6" i="14" l="1"/>
  <c r="E8" i="14" s="1"/>
  <c r="G20" i="4" s="1"/>
  <c r="G12" i="4"/>
  <c r="G26" i="4" s="1"/>
  <c r="D6" i="14"/>
  <c r="D8" i="14" s="1"/>
  <c r="F19" i="4" s="1"/>
  <c r="F11" i="4"/>
  <c r="H12" i="4"/>
  <c r="F6" i="14"/>
  <c r="F8" i="14" s="1"/>
  <c r="H20" i="4" s="1"/>
  <c r="H26" i="4" s="1"/>
  <c r="G6" i="14"/>
  <c r="G8" i="14" s="1"/>
  <c r="I20" i="4" s="1"/>
  <c r="I12" i="4"/>
  <c r="I26" i="4" s="1"/>
  <c r="G9" i="7"/>
  <c r="G46" i="4" s="1"/>
  <c r="G53" i="4" s="1"/>
  <c r="G54" i="4" s="1"/>
  <c r="F11" i="3" s="1"/>
  <c r="H5" i="7"/>
  <c r="I28" i="4"/>
  <c r="I35" i="4" s="1"/>
  <c r="H9" i="3" s="1"/>
  <c r="H35" i="4"/>
  <c r="G9" i="3" s="1"/>
  <c r="D34" i="10"/>
  <c r="B30" i="10"/>
  <c r="H11" i="23" s="1"/>
  <c r="J18" i="7"/>
  <c r="I40" i="7"/>
  <c r="G47" i="4" s="1"/>
  <c r="F26" i="4"/>
  <c r="E42" i="4"/>
  <c r="E54" i="4" s="1"/>
  <c r="D11" i="3" s="1"/>
  <c r="E26" i="4"/>
  <c r="H8" i="3" l="1"/>
  <c r="P8" i="3" s="1"/>
  <c r="I36" i="4"/>
  <c r="H36" i="4"/>
  <c r="G8" i="3"/>
  <c r="O8" i="3" s="1"/>
  <c r="G65" i="4"/>
  <c r="G36" i="4"/>
  <c r="F8" i="3"/>
  <c r="N8" i="3" s="1"/>
  <c r="I5" i="7"/>
  <c r="I9" i="7" s="1"/>
  <c r="I46" i="4" s="1"/>
  <c r="H9" i="7"/>
  <c r="H46" i="4" s="1"/>
  <c r="H53" i="4" s="1"/>
  <c r="H54" i="4" s="1"/>
  <c r="G11" i="3" s="1"/>
  <c r="F65" i="4"/>
  <c r="F36" i="4"/>
  <c r="E8" i="3"/>
  <c r="M8" i="3" s="1"/>
  <c r="B29" i="10"/>
  <c r="F10" i="23" s="1"/>
  <c r="C30" i="10"/>
  <c r="F35" i="10" s="1"/>
  <c r="D8" i="3"/>
  <c r="L8" i="3" s="1"/>
  <c r="L10" i="3" s="1"/>
  <c r="E65" i="4"/>
  <c r="E36" i="4"/>
  <c r="J40" i="7"/>
  <c r="H47" i="4" s="1"/>
  <c r="K18" i="7"/>
  <c r="K40" i="7" s="1"/>
  <c r="I47" i="4" s="1"/>
  <c r="H10" i="23" l="1"/>
  <c r="F12" i="23"/>
  <c r="G10" i="23"/>
  <c r="M13" i="3"/>
  <c r="M10" i="3"/>
  <c r="N16" i="3"/>
  <c r="N13" i="3"/>
  <c r="N10" i="3"/>
  <c r="O13" i="3"/>
  <c r="O10" i="3"/>
  <c r="O19" i="3"/>
  <c r="O16" i="3"/>
  <c r="P13" i="3"/>
  <c r="P19" i="3"/>
  <c r="P10" i="3"/>
  <c r="P16" i="3"/>
  <c r="P22" i="3"/>
  <c r="F10" i="3"/>
  <c r="G56" i="4"/>
  <c r="E67" i="4"/>
  <c r="F67" i="4" s="1"/>
  <c r="G67" i="4" s="1"/>
  <c r="E68" i="4"/>
  <c r="E66" i="4"/>
  <c r="D15" i="3" s="1"/>
  <c r="E10" i="3"/>
  <c r="F56" i="4"/>
  <c r="I53" i="4"/>
  <c r="I54" i="4" s="1"/>
  <c r="I56" i="4" s="1"/>
  <c r="C29" i="10"/>
  <c r="D35" i="10" s="1"/>
  <c r="B31" i="10"/>
  <c r="H10" i="3"/>
  <c r="F68" i="4"/>
  <c r="E56" i="4"/>
  <c r="D10" i="3"/>
  <c r="G68" i="4"/>
  <c r="G10" i="3"/>
  <c r="H56" i="4"/>
  <c r="H65" i="4"/>
  <c r="F34" i="10"/>
  <c r="C28" i="10"/>
  <c r="B35" i="10" s="1"/>
  <c r="C31" i="10" l="1"/>
  <c r="F27" i="10"/>
  <c r="L7" i="3"/>
  <c r="G12" i="23"/>
  <c r="G11" i="23"/>
  <c r="H17" i="23"/>
  <c r="H18" i="23"/>
  <c r="H19" i="23"/>
  <c r="G9" i="23"/>
  <c r="H12" i="23"/>
  <c r="I10" i="23"/>
  <c r="F66" i="4"/>
  <c r="E15" i="3" s="1"/>
  <c r="G66" i="4"/>
  <c r="F15" i="3" s="1"/>
  <c r="F69" i="4"/>
  <c r="I62" i="4"/>
  <c r="H13" i="3"/>
  <c r="H67" i="4"/>
  <c r="F13" i="3"/>
  <c r="G62" i="4"/>
  <c r="H68" i="4"/>
  <c r="H66" i="4"/>
  <c r="G15" i="3" s="1"/>
  <c r="G13" i="3"/>
  <c r="H62" i="4"/>
  <c r="F62" i="4"/>
  <c r="E13" i="3"/>
  <c r="G69" i="4"/>
  <c r="E69" i="4"/>
  <c r="D13" i="3"/>
  <c r="E62" i="4"/>
  <c r="H11" i="3"/>
  <c r="I65" i="4"/>
  <c r="M7" i="3" l="1"/>
  <c r="L11" i="3"/>
  <c r="L12" i="3" s="1"/>
  <c r="F24" i="23"/>
  <c r="I12" i="23"/>
  <c r="K19" i="23"/>
  <c r="K18" i="23"/>
  <c r="I9" i="23"/>
  <c r="K17" i="23"/>
  <c r="K20" i="23" s="1"/>
  <c r="I11" i="23"/>
  <c r="H20" i="23"/>
  <c r="G21" i="3"/>
  <c r="H63" i="4"/>
  <c r="G22" i="3" s="1"/>
  <c r="I68" i="4"/>
  <c r="I66" i="4"/>
  <c r="H15" i="3" s="1"/>
  <c r="H69" i="4"/>
  <c r="E21" i="3"/>
  <c r="F63" i="4"/>
  <c r="E22" i="3" s="1"/>
  <c r="H21" i="3"/>
  <c r="I63" i="4"/>
  <c r="H22" i="3" s="1"/>
  <c r="I67" i="4"/>
  <c r="G63" i="4"/>
  <c r="F22" i="3" s="1"/>
  <c r="F21" i="3"/>
  <c r="E63" i="4"/>
  <c r="D22" i="3" s="1"/>
  <c r="D21" i="3"/>
  <c r="E9" i="6"/>
  <c r="E15" i="6" s="1"/>
  <c r="D40" i="5"/>
  <c r="D16" i="3"/>
  <c r="G9" i="6"/>
  <c r="G15" i="6" s="1"/>
  <c r="F16" i="3"/>
  <c r="F9" i="6"/>
  <c r="F15" i="6" s="1"/>
  <c r="E16" i="3"/>
  <c r="F25" i="23" l="1"/>
  <c r="G23" i="23" s="1"/>
  <c r="G24" i="23"/>
  <c r="N7" i="3"/>
  <c r="M11" i="3"/>
  <c r="M12" i="3" s="1"/>
  <c r="M14" i="3"/>
  <c r="M15" i="3" s="1"/>
  <c r="G16" i="3"/>
  <c r="H9" i="6"/>
  <c r="H15" i="6" s="1"/>
  <c r="E40" i="5"/>
  <c r="D41" i="5"/>
  <c r="F32" i="6"/>
  <c r="E39" i="3" s="1"/>
  <c r="E35" i="3"/>
  <c r="I69" i="4"/>
  <c r="G32" i="6"/>
  <c r="F39" i="3" s="1"/>
  <c r="F35" i="3"/>
  <c r="E32" i="6"/>
  <c r="D35" i="3"/>
  <c r="N17" i="3" l="1"/>
  <c r="N18" i="3" s="1"/>
  <c r="O7" i="3"/>
  <c r="N11" i="3"/>
  <c r="N12" i="3" s="1"/>
  <c r="N14" i="3"/>
  <c r="N15" i="3" s="1"/>
  <c r="G35" i="3"/>
  <c r="H32" i="6"/>
  <c r="G39" i="3" s="1"/>
  <c r="D39" i="3"/>
  <c r="E36" i="6"/>
  <c r="F40" i="5"/>
  <c r="E41" i="5"/>
  <c r="D32" i="3"/>
  <c r="D43" i="5"/>
  <c r="D33" i="3" s="1"/>
  <c r="I9" i="6"/>
  <c r="I15" i="6" s="1"/>
  <c r="H16" i="3"/>
  <c r="O17" i="3" l="1"/>
  <c r="O18" i="3" s="1"/>
  <c r="P7" i="3"/>
  <c r="O20" i="3"/>
  <c r="O21" i="3" s="1"/>
  <c r="O14" i="3"/>
  <c r="O15" i="3" s="1"/>
  <c r="O11" i="3"/>
  <c r="O12" i="3" s="1"/>
  <c r="E32" i="3"/>
  <c r="E43" i="5"/>
  <c r="D41" i="3"/>
  <c r="F34" i="6"/>
  <c r="F36" i="6" s="1"/>
  <c r="D8" i="5"/>
  <c r="D11" i="5" s="1"/>
  <c r="G40" i="5"/>
  <c r="F41" i="5"/>
  <c r="I32" i="6"/>
  <c r="H39" i="3" s="1"/>
  <c r="H35" i="3"/>
  <c r="P23" i="3" l="1"/>
  <c r="P24" i="3" s="1"/>
  <c r="P20" i="3"/>
  <c r="P21" i="3" s="1"/>
  <c r="P17" i="3"/>
  <c r="P18" i="3" s="1"/>
  <c r="P14" i="3"/>
  <c r="P15" i="3" s="1"/>
  <c r="P11" i="3"/>
  <c r="P12" i="3" s="1"/>
  <c r="H40" i="5"/>
  <c r="H41" i="5" s="1"/>
  <c r="G41" i="5"/>
  <c r="D24" i="3"/>
  <c r="D23" i="5"/>
  <c r="F32" i="3"/>
  <c r="F43" i="5"/>
  <c r="E8" i="5"/>
  <c r="E11" i="5" s="1"/>
  <c r="E41" i="3"/>
  <c r="G34" i="6"/>
  <c r="G36" i="6" s="1"/>
  <c r="F8" i="5" l="1"/>
  <c r="F11" i="5" s="1"/>
  <c r="F41" i="3"/>
  <c r="H34" i="6"/>
  <c r="H36" i="6" s="1"/>
  <c r="E24" i="3"/>
  <c r="E23" i="5"/>
  <c r="D44" i="5"/>
  <c r="D27" i="3"/>
  <c r="G32" i="3"/>
  <c r="G43" i="5"/>
  <c r="H32" i="3"/>
  <c r="H43" i="5"/>
  <c r="E27" i="3" l="1"/>
  <c r="E44" i="5"/>
  <c r="G8" i="5"/>
  <c r="G11" i="5" s="1"/>
  <c r="G41" i="3"/>
  <c r="I34" i="6"/>
  <c r="I36" i="6" s="1"/>
  <c r="F24" i="3"/>
  <c r="F23" i="5"/>
  <c r="F27" i="3" l="1"/>
  <c r="F44" i="5"/>
  <c r="H8" i="5"/>
  <c r="H11" i="5" s="1"/>
  <c r="H41" i="3"/>
  <c r="G23" i="5"/>
  <c r="G24" i="3"/>
  <c r="G44" i="5" l="1"/>
  <c r="G27" i="3"/>
  <c r="H23" i="5"/>
  <c r="H24" i="3"/>
  <c r="H44" i="5" l="1"/>
  <c r="H27" i="3"/>
</calcChain>
</file>

<file path=xl/sharedStrings.xml><?xml version="1.0" encoding="utf-8"?>
<sst xmlns="http://schemas.openxmlformats.org/spreadsheetml/2006/main" count="755" uniqueCount="547">
  <si>
    <t>Table of Contents</t>
  </si>
  <si>
    <t>Assumptions -- Read Me</t>
  </si>
  <si>
    <t>Summary - Pro - Forma</t>
  </si>
  <si>
    <t>Income Statement</t>
  </si>
  <si>
    <t>Balance Sheet</t>
  </si>
  <si>
    <t>Cash Flow</t>
  </si>
  <si>
    <t>Staff</t>
  </si>
  <si>
    <t>Costs</t>
  </si>
  <si>
    <t>Founders Initial Investment</t>
  </si>
  <si>
    <t>Cap Table</t>
  </si>
  <si>
    <t>Revenue Product 1 -- Investible Properties</t>
  </si>
  <si>
    <t>Revenue Product 2 -- Real Estate Sales</t>
  </si>
  <si>
    <t>Revenue Product 3 -- Platform Users</t>
  </si>
  <si>
    <t>Revenue Product 4 -- SaaS White Lable Plarform</t>
  </si>
  <si>
    <t>Revenue Product 5 -- Retained Holdings</t>
  </si>
  <si>
    <t>Worksheet Marketing Costs to Gen. Pltform Users</t>
  </si>
  <si>
    <t>AI and Investment COGS</t>
  </si>
  <si>
    <t>What is RWAP</t>
  </si>
  <si>
    <t xml:space="preserve">RWAP is a Real World Asset Platform that lists real world assets on a platfrom for investment and for sale.  </t>
  </si>
  <si>
    <t>RWAP has the following monitization levers:</t>
  </si>
  <si>
    <t>Properties for investment</t>
  </si>
  <si>
    <t>Properties for Sale</t>
  </si>
  <si>
    <t>Retained holdings</t>
  </si>
  <si>
    <t>Platform Users</t>
  </si>
  <si>
    <t>SaaS Model</t>
  </si>
  <si>
    <t>A. Investor-Facing Pricing Model Snapshot</t>
  </si>
  <si>
    <t>RWAP Pricing Model – Investor Snapshot</t>
  </si>
  <si>
    <r>
      <rPr>
        <sz val="12"/>
        <color theme="1"/>
        <rFont val="Times New Roman"/>
        <family val="1"/>
      </rPr>
      <t>RWAP is a Real World Asset Platform that turns income-producing real estate and other RWAs into compliant, tradable tokens. The pricing model is built so that </t>
    </r>
    <r>
      <rPr>
        <b/>
        <sz val="12"/>
        <color rgb="FF000000"/>
        <rFont val="Times New Roman"/>
        <family val="1"/>
      </rPr>
      <t>every core activity on the platform creates revenue</t>
    </r>
    <r>
      <rPr>
        <sz val="12"/>
        <color rgb="FF000000"/>
        <rFont val="Times New Roman"/>
        <family val="1"/>
      </rPr>
      <t>—while also building a permanent, compounding “house balance sheet” of retained tokens.</t>
    </r>
  </si>
  <si>
    <t xml:space="preserve">A person / company can list an income generating property on the platform for sale or for investment.  If listed for investment RWAP charges a percentage of the value of the property.    The percentage includes certain AI compliments and business wrappers in WY and also UAE.  The reason being, WY has the best DAO LLC resources and UAE has interantionally recognized banking resources. </t>
  </si>
  <si>
    <t xml:space="preserve">A person can list an income generating property for sale and RWAP charges a percentage of the value of the property.  If listed for sale RWAP offers the same AI compliments but does not offer any WY or UAE wrappers.  </t>
  </si>
  <si>
    <t>At a high level, RWAP makes money from four cash engines plus one equity engine:</t>
  </si>
  <si>
    <t>1. Buyer Subscriptions (Investors)</t>
  </si>
  <si>
    <t>Investors subscribe to AI-powered tools that help them discover, evaluate, and monitor deals. There are four membership tiers—from a free “Explorer” tier up to a professional “Pro” tier—with pricing that scales as investors demand more AI usage, alerts, and analytics. Subscription revenue is recurring, sticky, and directly tied to investor activity on the platform.</t>
  </si>
  <si>
    <t>2. Seller Fees (Property Owners Listing RWAs)</t>
  </si>
  <si>
    <t>Property owners pay RWAP to:</t>
  </si>
  <si>
    <t>Ingest and analyze property data using AI</t>
  </si>
  <si>
    <t>Set up the legal and on-chain structure (DAO/SPV, tokens, compliance)</t>
  </si>
  <si>
    <t>List and maintain their asset as a tradable RWA</t>
  </si>
  <si>
    <r>
      <rPr>
        <sz val="12"/>
        <color theme="1"/>
        <rFont val="Times New Roman"/>
        <family val="1"/>
      </rPr>
      <t>Fees are charged as a percentage of property value at onboarding, plus ongoing management fees each year the asset stays live on the platform. The model assumes minimum property values (e.g., $1.5M–$3.5M+) so that, </t>
    </r>
    <r>
      <rPr>
        <b/>
        <sz val="12"/>
        <color rgb="FF000000"/>
        <rFont val="Times New Roman"/>
        <family val="1"/>
      </rPr>
      <t>even after AI, legal, and infra COGS, each property is meaningfully profitable.</t>
    </r>
  </si>
  <si>
    <t>3. Whole-Asset Real Estate Sales (Broker-Style Fees)</t>
  </si>
  <si>
    <r>
      <rPr>
        <sz val="12"/>
        <color theme="1"/>
        <rFont val="Times New Roman"/>
        <family val="1"/>
      </rPr>
      <t>In some cases, buyers choose to purchase the </t>
    </r>
    <r>
      <rPr>
        <b/>
        <sz val="12"/>
        <color rgb="FF000000"/>
        <rFont val="Times New Roman"/>
        <family val="1"/>
      </rPr>
      <t>entire</t>
    </r>
    <r>
      <rPr>
        <sz val="12"/>
        <color rgb="FF000000"/>
        <rFont val="Times New Roman"/>
        <family val="1"/>
      </rPr>
      <t> property, not just a fraction. RWAP then earns a brokerage-like fee (0.5–1.0% of the sale price) for facilitating the transaction. The same data, AI, and compliance rails built for tokenization now also power a </t>
    </r>
    <r>
      <rPr>
        <b/>
        <sz val="12"/>
        <color rgb="FF000000"/>
        <rFont val="Times New Roman"/>
        <family val="1"/>
      </rPr>
      <t>low-friction sales channel</t>
    </r>
    <r>
      <rPr>
        <sz val="12"/>
        <color rgb="FF000000"/>
        <rFont val="Times New Roman"/>
        <family val="1"/>
      </rPr>
      <t>, creating a high-margin revenue stream on top of the token marketplace.</t>
    </r>
  </si>
  <si>
    <t>4. Platform Licensing &amp; SaaS (PaaS / White-Label)</t>
  </si>
  <si>
    <r>
      <rPr>
        <sz val="12"/>
        <color theme="1"/>
        <rFont val="Times New Roman"/>
        <family val="1"/>
      </rPr>
      <t>RWAP licenses the platform as a </t>
    </r>
    <r>
      <rPr>
        <b/>
        <sz val="12"/>
        <color rgb="FF000000"/>
        <rFont val="Times New Roman"/>
        <family val="1"/>
      </rPr>
      <t>white-label solution</t>
    </r>
    <r>
      <rPr>
        <sz val="12"/>
        <color rgb="FF000000"/>
        <rFont val="Times New Roman"/>
        <family val="1"/>
      </rPr>
      <t> to sovereigns, exchanges, banks, and large operators who want their own tokenization environment. Each client pays:</t>
    </r>
  </si>
  <si>
    <t>A six-figure up-front license fee, and</t>
  </si>
  <si>
    <t>An ongoing revenue share on their activity, including a small slice of the tokens they create.</t>
  </si>
  <si>
    <t>This turns RWAP’s stack into a scalable B2B product that can expand far beyond RWAP’s own direct marketplace.</t>
  </si>
  <si>
    <t>5. Retained Token Treasury (1.5% “House Stack”)</t>
  </si>
  <si>
    <r>
      <rPr>
        <sz val="12"/>
        <color theme="1"/>
        <rFont val="Times New Roman"/>
        <family val="1"/>
      </rPr>
      <t>For every property tokenized, RWAP </t>
    </r>
    <r>
      <rPr>
        <b/>
        <sz val="12"/>
        <color rgb="FF000000"/>
        <rFont val="Times New Roman"/>
        <family val="1"/>
      </rPr>
      <t>retains 1.5% of the tokens</t>
    </r>
    <r>
      <rPr>
        <sz val="12"/>
        <color rgb="FF000000"/>
        <rFont val="Times New Roman"/>
        <family val="1"/>
      </rPr>
      <t>. This is not fee revenue—it’s a real economic ownership interest in the underlying RWAs. As more assets are onboarded, this treasury grows into a large, diversified pool of equity-like holdings that:</t>
    </r>
  </si>
  <si>
    <t>Accumulates value without incremental acquisition cost, and</t>
  </si>
  <si>
    <t>Strengthens the balance sheet for future financing and corporate actions.</t>
  </si>
  <si>
    <t>What the Base-Case Model Shows</t>
  </si>
  <si>
    <t>In the base case, assuming a minimum property value of ~$1.5M–$2.5M and a realistic ramp in buyer and seller adoption:</t>
  </si>
  <si>
    <r>
      <rPr>
        <b/>
        <sz val="12"/>
        <color theme="1"/>
        <rFont val="Times New Roman"/>
        <family val="1"/>
      </rPr>
      <t>Annual platform revenue</t>
    </r>
    <r>
      <rPr>
        <sz val="12"/>
        <color rgb="FF000000"/>
        <rFont val="Times New Roman"/>
        <family val="1"/>
      </rPr>
      <t> from Buyers, Sellers, Real Estate Sales, and SaaS grows from </t>
    </r>
    <r>
      <rPr>
        <b/>
        <sz val="12"/>
        <color rgb="FF000000"/>
        <rFont val="Times New Roman"/>
        <family val="1"/>
      </rPr>
      <t>single-digit millions in Year 1</t>
    </r>
    <r>
      <rPr>
        <sz val="12"/>
        <color rgb="FF000000"/>
        <rFont val="Times New Roman"/>
        <family val="1"/>
      </rPr>
      <t> to </t>
    </r>
    <r>
      <rPr>
        <b/>
        <sz val="12"/>
        <color rgb="FF000000"/>
        <rFont val="Times New Roman"/>
        <family val="1"/>
      </rPr>
      <t>nearly $200M by Year 5</t>
    </r>
    <r>
      <rPr>
        <sz val="12"/>
        <color rgb="FF000000"/>
        <rFont val="Times New Roman"/>
        <family val="1"/>
      </rPr>
      <t>.</t>
    </r>
  </si>
  <si>
    <r>
      <rPr>
        <sz val="12"/>
        <color theme="1"/>
        <rFont val="Times New Roman"/>
        <family val="1"/>
      </rPr>
      <t>The </t>
    </r>
    <r>
      <rPr>
        <b/>
        <sz val="12"/>
        <color rgb="FF000000"/>
        <rFont val="Times New Roman"/>
        <family val="1"/>
      </rPr>
      <t>retained token position</t>
    </r>
    <r>
      <rPr>
        <sz val="12"/>
        <color rgb="FF000000"/>
        <rFont val="Times New Roman"/>
        <family val="1"/>
      </rPr>
      <t> grows from roughly </t>
    </r>
    <r>
      <rPr>
        <b/>
        <sz val="12"/>
        <color rgb="FF000000"/>
        <rFont val="Times New Roman"/>
        <family val="1"/>
      </rPr>
      <t>low single-digit millions in Year 1</t>
    </r>
    <r>
      <rPr>
        <sz val="12"/>
        <color rgb="FF000000"/>
        <rFont val="Times New Roman"/>
        <family val="1"/>
      </rPr>
      <t> to </t>
    </r>
    <r>
      <rPr>
        <b/>
        <sz val="12"/>
        <color rgb="FF000000"/>
        <rFont val="Times New Roman"/>
        <family val="1"/>
      </rPr>
      <t>well over $100M of underlying property value</t>
    </r>
    <r>
      <rPr>
        <sz val="12"/>
        <color rgb="FF000000"/>
        <rFont val="Times New Roman"/>
        <family val="1"/>
      </rPr>
      <t> by Year 5, even before any price appreciation.</t>
    </r>
  </si>
  <si>
    <t>The revenue mix is diversified:</t>
  </si>
  <si>
    <t>Buyer subscriptions provide predictable recurring income.</t>
  </si>
  <si>
    <t>Seller onboarding and ongoing fees deliver substantial cash flows as the asset base grows.</t>
  </si>
  <si>
    <t>Real estate sales fees and PaaS/white-label licensing add high-margin upside and external validation.</t>
  </si>
  <si>
    <t>Why This Matters for Investors</t>
  </si>
  <si>
    <r>
      <rPr>
        <b/>
        <sz val="12"/>
        <color theme="1"/>
        <rFont val="Times New Roman"/>
        <family val="1"/>
      </rPr>
      <t>Multiple independent revenue streams</t>
    </r>
    <r>
      <rPr>
        <sz val="12"/>
        <color rgb="FF000000"/>
        <rFont val="Times New Roman"/>
        <family val="1"/>
      </rPr>
      <t> reduce reliance on any single segment.</t>
    </r>
  </si>
  <si>
    <r>
      <rPr>
        <b/>
        <sz val="12"/>
        <color theme="1"/>
        <rFont val="Times New Roman"/>
        <family val="1"/>
      </rPr>
      <t>Unit economics are grounded in actual COGS</t>
    </r>
    <r>
      <rPr>
        <sz val="12"/>
        <color rgb="FF000000"/>
        <rFont val="Times New Roman"/>
        <family val="1"/>
      </rPr>
      <t> for AI, legal, and infra, ensuring viability at the property level.</t>
    </r>
  </si>
  <si>
    <r>
      <rPr>
        <sz val="12"/>
        <color theme="1"/>
        <rFont val="Times New Roman"/>
        <family val="1"/>
      </rPr>
      <t>The </t>
    </r>
    <r>
      <rPr>
        <b/>
        <sz val="12"/>
        <color rgb="FF000000"/>
        <rFont val="Times New Roman"/>
        <family val="1"/>
      </rPr>
      <t>1.5% retained token treasury</t>
    </r>
    <r>
      <rPr>
        <sz val="12"/>
        <color rgb="FF000000"/>
        <rFont val="Times New Roman"/>
        <family val="1"/>
      </rPr>
      <t> compounds as the platform scales, creating a built-in equity engine on top of cash revenue.</t>
    </r>
  </si>
  <si>
    <r>
      <rPr>
        <sz val="12"/>
        <color theme="1"/>
        <rFont val="Times New Roman"/>
        <family val="1"/>
      </rPr>
      <t>The </t>
    </r>
    <r>
      <rPr>
        <b/>
        <sz val="12"/>
        <color rgb="FF000000"/>
        <rFont val="Times New Roman"/>
        <family val="1"/>
      </rPr>
      <t>PaaS / white-label model</t>
    </r>
    <r>
      <rPr>
        <sz val="12"/>
        <color rgb="FF000000"/>
        <rFont val="Times New Roman"/>
        <family val="1"/>
      </rPr>
      <t> allows RWAP to plug into existing institutions, accelerating adoption without bearing all origination and distribution costs alone.</t>
    </r>
  </si>
  <si>
    <r>
      <rPr>
        <sz val="12"/>
        <color theme="1"/>
        <rFont val="Times New Roman"/>
        <family val="1"/>
      </rPr>
      <t>The result is a pricing model designed not just for short-term fee income, but for </t>
    </r>
    <r>
      <rPr>
        <b/>
        <sz val="12"/>
        <color rgb="FF000000"/>
        <rFont val="Times New Roman"/>
        <family val="1"/>
      </rPr>
      <t>long-term, scalable profitability plus a growing balance sheet of real-world assets.</t>
    </r>
  </si>
  <si>
    <t>B. Pricing Model Narrative</t>
  </si>
  <si>
    <t>Executive Summary</t>
  </si>
  <si>
    <r>
      <rPr>
        <sz val="12"/>
        <color theme="1"/>
        <rFont val="Times New Roman"/>
        <family val="1"/>
      </rPr>
      <t>The RWAP Pricing Model translates the platform design into a </t>
    </r>
    <r>
      <rPr>
        <b/>
        <sz val="12"/>
        <color rgb="FF000000"/>
        <rFont val="Times New Roman"/>
        <family val="1"/>
      </rPr>
      <t>multi-engine revenue system</t>
    </r>
    <r>
      <rPr>
        <sz val="12"/>
        <color rgb="FF000000"/>
        <rFont val="Times New Roman"/>
        <family val="1"/>
      </rPr>
      <t> plus a growing pool of retained token holdings.</t>
    </r>
  </si>
  <si>
    <t>Across the model, RWAP captures value from:</t>
  </si>
  <si>
    <r>
      <rPr>
        <b/>
        <sz val="12"/>
        <color theme="1"/>
        <rFont val="Times New Roman"/>
        <family val="1"/>
      </rPr>
      <t>Buyers of Tokens</t>
    </r>
    <r>
      <rPr>
        <sz val="12"/>
        <color theme="1"/>
        <rFont val="Times New Roman"/>
        <family val="1"/>
      </rPr>
      <t> through subscription memberships to AI-powered tools.</t>
    </r>
  </si>
  <si>
    <r>
      <rPr>
        <b/>
        <sz val="12"/>
        <color theme="1"/>
        <rFont val="Times New Roman"/>
        <family val="1"/>
      </rPr>
      <t>Sellers of Tokens</t>
    </r>
    <r>
      <rPr>
        <sz val="12"/>
        <color theme="1"/>
        <rFont val="Times New Roman"/>
        <family val="1"/>
      </rPr>
      <t> (property owners) through onboarding and ongoing management fees tied to property value.</t>
    </r>
  </si>
  <si>
    <r>
      <rPr>
        <b/>
        <sz val="12"/>
        <color theme="1"/>
        <rFont val="Times New Roman"/>
        <family val="1"/>
      </rPr>
      <t>Real Estate Sales</t>
    </r>
    <r>
      <rPr>
        <sz val="12"/>
        <color theme="1"/>
        <rFont val="Times New Roman"/>
        <family val="1"/>
      </rPr>
      <t> when entire properties are sold using the platform’s rails.</t>
    </r>
  </si>
  <si>
    <r>
      <rPr>
        <b/>
        <sz val="12"/>
        <color theme="1"/>
        <rFont val="Times New Roman"/>
        <family val="1"/>
      </rPr>
      <t>Platform-as-a-Service (PaaS) and white-label licensing</t>
    </r>
    <r>
      <rPr>
        <sz val="12"/>
        <color theme="1"/>
        <rFont val="Times New Roman"/>
        <family val="1"/>
      </rPr>
      <t> to external institutions.</t>
    </r>
  </si>
  <si>
    <r>
      <rPr>
        <b/>
        <sz val="12"/>
        <color theme="1"/>
        <rFont val="Times New Roman"/>
        <family val="1"/>
      </rPr>
      <t>Retained token holdings</t>
    </r>
    <r>
      <rPr>
        <sz val="12"/>
        <color theme="1"/>
        <rFont val="Times New Roman"/>
        <family val="1"/>
      </rPr>
      <t> equal to 1.5% of all tokens created on the platform.</t>
    </r>
  </si>
  <si>
    <t>In the base case, these engines together produce:</t>
  </si>
  <si>
    <r>
      <rPr>
        <sz val="12"/>
        <color theme="1"/>
        <rFont val="Times New Roman"/>
        <family val="1"/>
      </rPr>
      <t>Revenue that grows from </t>
    </r>
    <r>
      <rPr>
        <b/>
        <sz val="12"/>
        <color rgb="FF000000"/>
        <rFont val="Times New Roman"/>
        <family val="1"/>
      </rPr>
      <t>single-digit millions in Year 1</t>
    </r>
    <r>
      <rPr>
        <sz val="12"/>
        <color rgb="FF000000"/>
        <rFont val="Times New Roman"/>
        <family val="1"/>
      </rPr>
      <t> to </t>
    </r>
    <r>
      <rPr>
        <b/>
        <sz val="12"/>
        <color rgb="FF000000"/>
        <rFont val="Times New Roman"/>
        <family val="1"/>
      </rPr>
      <t>~$200M per year by Year 5</t>
    </r>
    <r>
      <rPr>
        <sz val="12"/>
        <color rgb="FF000000"/>
        <rFont val="Times New Roman"/>
        <family val="1"/>
      </rPr>
      <t>, and</t>
    </r>
  </si>
  <si>
    <r>
      <rPr>
        <sz val="12"/>
        <color theme="1"/>
        <rFont val="Times New Roman"/>
        <family val="1"/>
      </rPr>
      <t>A </t>
    </r>
    <r>
      <rPr>
        <b/>
        <sz val="12"/>
        <color rgb="FF000000"/>
        <rFont val="Times New Roman"/>
        <family val="1"/>
      </rPr>
      <t>retained token treasury</t>
    </r>
    <r>
      <rPr>
        <sz val="12"/>
        <color rgb="FF000000"/>
        <rFont val="Times New Roman"/>
        <family val="1"/>
      </rPr>
      <t> that grows from </t>
    </r>
    <r>
      <rPr>
        <b/>
        <sz val="12"/>
        <color rgb="FF000000"/>
        <rFont val="Times New Roman"/>
        <family val="1"/>
      </rPr>
      <t>a few million dollars of underlying asset value</t>
    </r>
    <r>
      <rPr>
        <sz val="12"/>
        <color rgb="FF000000"/>
        <rFont val="Times New Roman"/>
        <family val="1"/>
      </rPr>
      <t> to </t>
    </r>
    <r>
      <rPr>
        <b/>
        <sz val="12"/>
        <color rgb="FF000000"/>
        <rFont val="Times New Roman"/>
        <family val="1"/>
      </rPr>
      <t>well over $100M</t>
    </r>
    <r>
      <rPr>
        <sz val="12"/>
        <color rgb="FF000000"/>
        <rFont val="Times New Roman"/>
        <family val="1"/>
      </rPr>
      <t>over the same period.</t>
    </r>
  </si>
  <si>
    <r>
      <rPr>
        <sz val="12"/>
        <color theme="1"/>
        <rFont val="Times New Roman"/>
        <family val="1"/>
      </rPr>
      <t>The pricing model is intentionally conservative on adoption and property values, while using </t>
    </r>
    <r>
      <rPr>
        <b/>
        <sz val="12"/>
        <color rgb="FF000000"/>
        <rFont val="Times New Roman"/>
        <family val="1"/>
      </rPr>
      <t>realistic cost-of-goods</t>
    </r>
    <r>
      <rPr>
        <sz val="12"/>
        <color rgb="FF000000"/>
        <rFont val="Times New Roman"/>
        <family val="1"/>
      </rPr>
      <t> for AI, compliance, and infra. Each tab of the spreadsheet exposes the unit economics and then scales them to a portfolio level.</t>
    </r>
  </si>
  <si>
    <t>Pro Forma Financial Forecast</t>
  </si>
  <si>
    <t xml:space="preserve">Year 1 </t>
  </si>
  <si>
    <t>Year 2</t>
  </si>
  <si>
    <t>Year 3</t>
  </si>
  <si>
    <t>Year 4</t>
  </si>
  <si>
    <t>Year 5</t>
  </si>
  <si>
    <t>Total Revenue</t>
  </si>
  <si>
    <t>Total Direct Costs</t>
  </si>
  <si>
    <t>Gross Margin</t>
  </si>
  <si>
    <t>Total Operating Expense</t>
  </si>
  <si>
    <t>Operating Income (Loss)</t>
  </si>
  <si>
    <t>Total Other Income</t>
  </si>
  <si>
    <t>Income Taxes</t>
  </si>
  <si>
    <t>Net Income (Loss)</t>
  </si>
  <si>
    <t>EBITDA (Loss)</t>
  </si>
  <si>
    <t>%</t>
  </si>
  <si>
    <t>Total Current Assets</t>
  </si>
  <si>
    <t>Fixed Assets, Net</t>
  </si>
  <si>
    <t>Total Other Assets</t>
  </si>
  <si>
    <t>Total Assets</t>
  </si>
  <si>
    <t>Total Current Liabilities</t>
  </si>
  <si>
    <t>Total Long-Term Liailities</t>
  </si>
  <si>
    <t>Total Equity</t>
  </si>
  <si>
    <t>Total Liabilities and Equity</t>
  </si>
  <si>
    <t>Total Cash From (For) Operating Activities</t>
  </si>
  <si>
    <t>Total Cash From (For) Investing Activities</t>
  </si>
  <si>
    <t>Total Cash From (For) Financing Activities</t>
  </si>
  <si>
    <t>Net Increase (Decrease) In Cash</t>
  </si>
  <si>
    <t>Cash and Cash Equivalents End</t>
  </si>
  <si>
    <t>RWAP - Income Statement</t>
  </si>
  <si>
    <t>Revenue</t>
  </si>
  <si>
    <t>Phase 1 - Product 1 Investible Properties</t>
  </si>
  <si>
    <t>Phase 2 - Product 1</t>
  </si>
  <si>
    <t>Phase 3 - Product 1</t>
  </si>
  <si>
    <t>Phase 1 - Product 2 Real Estate Sales</t>
  </si>
  <si>
    <t>Phase 2 - Product 2</t>
  </si>
  <si>
    <t>Phase 3 - Product 2</t>
  </si>
  <si>
    <t>Phase 1 - Product 3 Platform Users</t>
  </si>
  <si>
    <t>Phase 2 - Product 3</t>
  </si>
  <si>
    <t>Phase 3 - Product 3</t>
  </si>
  <si>
    <t>Phase 1 - Product 4 PaaS Model</t>
  </si>
  <si>
    <t>Phase 2 - Product 4</t>
  </si>
  <si>
    <t>Phase 3 - Product 4</t>
  </si>
  <si>
    <t>Phase 1 - Product 5 Retained Holdings</t>
  </si>
  <si>
    <t>Phase 2 - Product 5</t>
  </si>
  <si>
    <t>Phase 3 - Product 5</t>
  </si>
  <si>
    <t>Direct Costs</t>
  </si>
  <si>
    <t>COGS - Phase 1 - Monthly Recurring</t>
  </si>
  <si>
    <t>COGS - Phase 1 - Occassional</t>
  </si>
  <si>
    <t>COGS - Phase 2 - Monthly Recurring</t>
  </si>
  <si>
    <t>COGS - Phase 2 - Occassional</t>
  </si>
  <si>
    <t>COGS - Phase 3 - Monthly Recurring</t>
  </si>
  <si>
    <t>COGS - Phase 3 - Occassional</t>
  </si>
  <si>
    <t>Operating Expenses</t>
  </si>
  <si>
    <t>Other: Operating Expenses</t>
  </si>
  <si>
    <t>Sales and Marketing Expenses</t>
  </si>
  <si>
    <t>Total Sales and Marketing Expenses</t>
  </si>
  <si>
    <t>G&amp;A Expenses</t>
  </si>
  <si>
    <t>Salary &amp; Benefits (C-Suite)</t>
  </si>
  <si>
    <t>Salary &amp; Benefits (NON-C-Suite)</t>
  </si>
  <si>
    <t>Sales Commission</t>
  </si>
  <si>
    <t>Legal Fees (General)</t>
  </si>
  <si>
    <t>R&amp;D Expenses</t>
  </si>
  <si>
    <t>Total G&amp;A Expenses</t>
  </si>
  <si>
    <t>Total Operating Expenses</t>
  </si>
  <si>
    <t>Other Income (Expense)</t>
  </si>
  <si>
    <t>Interest Income</t>
  </si>
  <si>
    <t>Interest Expense</t>
  </si>
  <si>
    <t>EBITDA %</t>
  </si>
  <si>
    <t>Pre-Tax Profit (Loss)</t>
  </si>
  <si>
    <t>Income Taxes (NOL - Adjusted)</t>
  </si>
  <si>
    <t>NOL Balance</t>
  </si>
  <si>
    <t>Flat Tax (for comparison)</t>
  </si>
  <si>
    <t>RWAP - Balance Sheet</t>
  </si>
  <si>
    <t>Current Assets</t>
  </si>
  <si>
    <t>Cash</t>
  </si>
  <si>
    <t>Accounts Receivable</t>
  </si>
  <si>
    <t>Inventory</t>
  </si>
  <si>
    <t>Fixed Assets</t>
  </si>
  <si>
    <t>Gross PP&amp;E</t>
  </si>
  <si>
    <t>Accumulated Depreciation</t>
  </si>
  <si>
    <t>Other Assets</t>
  </si>
  <si>
    <t>Intangibles</t>
  </si>
  <si>
    <t>Less Amortization</t>
  </si>
  <si>
    <t>Current Liabilities</t>
  </si>
  <si>
    <t>Accounts Payable</t>
  </si>
  <si>
    <t>Bonus Accruals</t>
  </si>
  <si>
    <t>Current Portion of LT Debt</t>
  </si>
  <si>
    <t>Long Term Liabilities</t>
  </si>
  <si>
    <t>Long-Term Debt</t>
  </si>
  <si>
    <t>Total Long Term Liabilities</t>
  </si>
  <si>
    <t>Total Liabilities</t>
  </si>
  <si>
    <t>Equity</t>
  </si>
  <si>
    <t>Common Stock</t>
  </si>
  <si>
    <t>Preferred Stock</t>
  </si>
  <si>
    <t>Additional Paid-In Capital</t>
  </si>
  <si>
    <t>Retained Earnings</t>
  </si>
  <si>
    <t>Balance Check</t>
  </si>
  <si>
    <t>RWAP - Cash Flow Statement</t>
  </si>
  <si>
    <t>Operating Activites</t>
  </si>
  <si>
    <t>Depreciation and Amortization</t>
  </si>
  <si>
    <t>Amortization</t>
  </si>
  <si>
    <t>(Increase) Decrease in Accounts Receivable</t>
  </si>
  <si>
    <t>(Increase) Decrease in Inventory</t>
  </si>
  <si>
    <t>Increase (Decrease) In Liabilities</t>
  </si>
  <si>
    <t>Investing Activities</t>
  </si>
  <si>
    <t>Capital Expenditure</t>
  </si>
  <si>
    <t>Purchase of Equipment</t>
  </si>
  <si>
    <t>Financing Activities</t>
  </si>
  <si>
    <t>Debt Issuance Costs</t>
  </si>
  <si>
    <t>Proceeds from Debt</t>
  </si>
  <si>
    <t>Issuance Costs</t>
  </si>
  <si>
    <t>Repayment Cash Flow</t>
  </si>
  <si>
    <t>Proceeds from Issuance of Common Stock</t>
  </si>
  <si>
    <t>Proceeds from Issuance of Preferred Stock (currently showing Additional Paid in Capital for founders investment)</t>
  </si>
  <si>
    <t xml:space="preserve"> </t>
  </si>
  <si>
    <t>Cash and Cash Equivalents-Beginning</t>
  </si>
  <si>
    <t>Cash and Cash Equivalents-End</t>
  </si>
  <si>
    <t>Multipliers by year</t>
  </si>
  <si>
    <t>With Benefits (30%)</t>
  </si>
  <si>
    <t xml:space="preserve">CEO </t>
  </si>
  <si>
    <t>CPO</t>
  </si>
  <si>
    <t>CRO</t>
  </si>
  <si>
    <t>CTO</t>
  </si>
  <si>
    <t>Yearly C-Suite Cost</t>
  </si>
  <si>
    <t>Sales Bonuses</t>
  </si>
  <si>
    <t>Phase 1</t>
  </si>
  <si>
    <t>Number of Employees in Position</t>
  </si>
  <si>
    <t>Cost w/Benefits x number in that position</t>
  </si>
  <si>
    <t>Product Manager</t>
  </si>
  <si>
    <t>*</t>
  </si>
  <si>
    <t>Full‑Stack Engineer</t>
  </si>
  <si>
    <t xml:space="preserve">* </t>
  </si>
  <si>
    <t xml:space="preserve">Would be hired post platform build.  </t>
  </si>
  <si>
    <t>DevOps/SRE (contract)</t>
  </si>
  <si>
    <t>Salary is included here for forecasing purposes.</t>
  </si>
  <si>
    <t>Sales/BD</t>
  </si>
  <si>
    <t>UX/UI Designer</t>
  </si>
  <si>
    <t>QA Engineer (contract)</t>
  </si>
  <si>
    <t>Compliance Lead</t>
  </si>
  <si>
    <t>Legal Counsel</t>
  </si>
  <si>
    <t>Accounting Contractor</t>
  </si>
  <si>
    <t>Marketing Manager</t>
  </si>
  <si>
    <t>Customer Support Rep</t>
  </si>
  <si>
    <t>Sales is included in the cost of goods sold for the products</t>
  </si>
  <si>
    <t>Phase 2 - Beginning Year 3</t>
  </si>
  <si>
    <t>Sr. Blockchain Engineer (EVM)</t>
  </si>
  <si>
    <t>Blockchain Engineer (XRPL/integrations)</t>
  </si>
  <si>
    <t>Accountant, in House</t>
  </si>
  <si>
    <t>Backend Engineer (marketplace/liquidity)</t>
  </si>
  <si>
    <t>Security Engineer / DevSecOps</t>
  </si>
  <si>
    <t>Compliance Counsel (in‑house)</t>
  </si>
  <si>
    <t>Yearly Staff Cost</t>
  </si>
  <si>
    <t>Line item</t>
  </si>
  <si>
    <t>Unit</t>
  </si>
  <si>
    <t>Cost (USD)</t>
  </si>
  <si>
    <t>Note / Calc</t>
  </si>
  <si>
    <t>Recurring</t>
  </si>
  <si>
    <t>Marketing costs 8% of phase 1 revenue</t>
  </si>
  <si>
    <t>Yearly</t>
  </si>
  <si>
    <t>Intercom/Zendesk (2 agents)</t>
  </si>
  <si>
    <t>flat/mo</t>
  </si>
  <si>
    <t>Monthly</t>
  </si>
  <si>
    <t>Starter pricing ~$29/agent</t>
  </si>
  <si>
    <t>Phase 1 Monthly</t>
  </si>
  <si>
    <t>GitHub Team (6 users)</t>
  </si>
  <si>
    <t>per user/mo</t>
  </si>
  <si>
    <t>$4 per user</t>
  </si>
  <si>
    <t>Phase 1 Each Time, Random - cant calculate properly now</t>
  </si>
  <si>
    <t>Node provider (Alchemy PAYG)</t>
  </si>
  <si>
    <t>calc</t>
  </si>
  <si>
    <t>Each Time</t>
  </si>
  <si>
    <t>100M CU × $0.45/M</t>
  </si>
  <si>
    <t>Phase 1 One-Time, Possibly multiple times per year</t>
  </si>
  <si>
    <t>Twilio SMS (KYC codes/alerts)</t>
  </si>
  <si>
    <t>users×2 SMS × $0.0083</t>
  </si>
  <si>
    <t>AWS/GCP cloud (compute, DB, storage, bandwidth)</t>
  </si>
  <si>
    <t>2× t3.medium, RDS t3.small, S3/CloudFront; headroom</t>
  </si>
  <si>
    <t>Cloudflare Pro (WAF/CDN)</t>
  </si>
  <si>
    <t>Pro plan</t>
  </si>
  <si>
    <t>SendGrid (email API)</t>
  </si>
  <si>
    <t>Essentials tier</t>
  </si>
  <si>
    <t>CRM (HubSpot Starter or similar)</t>
  </si>
  <si>
    <t>Starter bundle (approx)</t>
  </si>
  <si>
    <t>Monitoring/Logging (Datadog/Sentry)</t>
  </si>
  <si>
    <t>Starter usage</t>
  </si>
  <si>
    <t>Cyber Security</t>
  </si>
  <si>
    <t>One-Time Item</t>
  </si>
  <si>
    <t>SOC 2 Readiness tooling (e.g., Vanta/Drata)</t>
  </si>
  <si>
    <t>each occurance</t>
  </si>
  <si>
    <t>Year 1 platform + advisory (estimate)</t>
  </si>
  <si>
    <t>SOC 2 Type I audit</t>
  </si>
  <si>
    <t>Independent auditor fee (range)</t>
  </si>
  <si>
    <t>Penetration test (web &amp; API)</t>
  </si>
  <si>
    <t>External pentest</t>
  </si>
  <si>
    <t>Initial legal package (PPM/Reg D templates, ToS/PP)</t>
  </si>
  <si>
    <t>Outside counsel retainer / deliverables</t>
  </si>
  <si>
    <t>Smart‑contract review (basic issuance contracts)</t>
  </si>
  <si>
    <t>Lite audit if Phase 1 uses on‑chain mint</t>
  </si>
  <si>
    <t>Cyber/E&amp;O/D&amp;O insurance bind (deposits)</t>
  </si>
  <si>
    <t>Initial annual premiums deposit</t>
  </si>
  <si>
    <t>Trademark &amp; IP filings</t>
  </si>
  <si>
    <t>USPTO + counsel</t>
  </si>
  <si>
    <t xml:space="preserve">Technology Buildout / UI / UX </t>
  </si>
  <si>
    <t>One-Time</t>
  </si>
  <si>
    <t>Onshore Development Firm</t>
  </si>
  <si>
    <t>Phase 2</t>
  </si>
  <si>
    <t>Node providers / RPC (higher usage)</t>
  </si>
  <si>
    <t>Dedicated/scale plans</t>
  </si>
  <si>
    <t>Phase 2 Monthly</t>
  </si>
  <si>
    <t>Additional cloud (indexers, workers, nodes)</t>
  </si>
  <si>
    <t>Dual‑chain infra</t>
  </si>
  <si>
    <t>Phase 2 One Time, Possibly multiple times per year</t>
  </si>
  <si>
    <t>Legal &amp; compliance retainer (securities/tax)</t>
  </si>
  <si>
    <t>Outside counsel monthly</t>
  </si>
  <si>
    <t>Regulatory tech (sanctions/PEP db, archive)</t>
  </si>
  <si>
    <t>Comply screening / archive</t>
  </si>
  <si>
    <t>Transfer agent / e‑recording integrations</t>
  </si>
  <si>
    <t>Vendors &amp; county interfaces</t>
  </si>
  <si>
    <t>Smart‑contract audits (AMM/issuance, dual‑chain modules)</t>
  </si>
  <si>
    <t>External auditors</t>
  </si>
  <si>
    <t>Marketplace security assessment (code review + pentest)</t>
  </si>
  <si>
    <t>External</t>
  </si>
  <si>
    <t>Reg D/CF program refresh; potential Reg A scoping</t>
  </si>
  <si>
    <t>Counsel + auditor scoping</t>
  </si>
  <si>
    <t>County e‑recording pilots (setup fees, test filings)</t>
  </si>
  <si>
    <t>Pilot jurisdictions</t>
  </si>
  <si>
    <t>Phase 3</t>
  </si>
  <si>
    <t>Fixed -ish</t>
  </si>
  <si>
    <t>Phase 3 Monthly</t>
  </si>
  <si>
    <t>OpenAI API budget (inference)</t>
  </si>
  <si>
    <t>Chat/assist + embeddings @ low usage</t>
  </si>
  <si>
    <t>Phase 3 One Time, Possibly multiple times per year</t>
  </si>
  <si>
    <t>Vector DB / search infra</t>
  </si>
  <si>
    <t>Pinecone/pgvector/Elasticsearch</t>
  </si>
  <si>
    <t>Additional cloud for AI services</t>
  </si>
  <si>
    <t>GPU bursts or serverless</t>
  </si>
  <si>
    <t>AI security &amp; privacy review</t>
  </si>
  <si>
    <t>Advanced audit (oracle bridges/liquidity modules)</t>
  </si>
  <si>
    <t>Founders input</t>
  </si>
  <si>
    <t>Additional Paid-In-Capital, goes in balance sheet cell D39, Cash Flow E29</t>
  </si>
  <si>
    <t>RWAP – Cap Table (Seed / Reg D 506(c))</t>
  </si>
  <si>
    <t>Assumptions</t>
  </si>
  <si>
    <t>Entity Type</t>
  </si>
  <si>
    <t>LLC (Manager-managed)</t>
  </si>
  <si>
    <t>Governance</t>
  </si>
  <si>
    <t>Manager-managed LLC</t>
  </si>
  <si>
    <t>Approvals Required</t>
  </si>
  <si>
    <t>Managers</t>
  </si>
  <si>
    <t>Pre-Money Valuation</t>
  </si>
  <si>
    <t>Seed Raise (Primary)</t>
  </si>
  <si>
    <t>Option Pool % (Target)</t>
  </si>
  <si>
    <t>Option Pool Timing</t>
  </si>
  <si>
    <t>Security</t>
  </si>
  <si>
    <t>Seed Preferred Units</t>
  </si>
  <si>
    <t>Liquidation Preference</t>
  </si>
  <si>
    <t>1x Non-Participating</t>
  </si>
  <si>
    <t>Dividends</t>
  </si>
  <si>
    <t>None</t>
  </si>
  <si>
    <t>Pro-Rata Rights</t>
  </si>
  <si>
    <t>Yes</t>
  </si>
  <si>
    <t>Min Investment (client entry)</t>
  </si>
  <si>
    <t>Pre-Money Ownership (Issued &amp; Outstanding)</t>
  </si>
  <si>
    <t>Holder</t>
  </si>
  <si>
    <t>Class</t>
  </si>
  <si>
    <t>Units/Shares</t>
  </si>
  <si>
    <t>Consideration</t>
  </si>
  <si>
    <t>Vesting</t>
  </si>
  <si>
    <t>John Christian Barlow Sr</t>
  </si>
  <si>
    <t>Common</t>
  </si>
  <si>
    <t>Founder Formation</t>
  </si>
  <si>
    <t>John Christian Barlow Jr</t>
  </si>
  <si>
    <t>Saul Marc Kenton</t>
  </si>
  <si>
    <t>Total Common (Pre)</t>
  </si>
  <si>
    <t>Outstanding Instruments (Pre)</t>
  </si>
  <si>
    <t>SAFEs/Notes</t>
  </si>
  <si>
    <t>No</t>
  </si>
  <si>
    <t>Warrants/RSUs</t>
  </si>
  <si>
    <t>Third-Party Debt</t>
  </si>
  <si>
    <t>Seed Round Calculations</t>
  </si>
  <si>
    <t>Pre-FD Shares (Founders only)</t>
  </si>
  <si>
    <t>Pool Shares (Pre)</t>
  </si>
  <si>
    <t>Final Price/Unit (used)</t>
  </si>
  <si>
    <t>New Investor Units (Seed)</t>
  </si>
  <si>
    <t>Total Post-FD Shares</t>
  </si>
  <si>
    <t>Post-Money Ownership (Fully Diluted)</t>
  </si>
  <si>
    <t>Holder/Class</t>
  </si>
  <si>
    <t>% of FD</t>
  </si>
  <si>
    <t>Founders (Common)</t>
  </si>
  <si>
    <t>Option Pool (Unallocated)</t>
  </si>
  <si>
    <t>New Investors (Series Seed)</t>
  </si>
  <si>
    <t>Total</t>
  </si>
  <si>
    <t>PPM / Subscription Export (for signature pages &amp; term sheet)</t>
  </si>
  <si>
    <t>Unit Price</t>
  </si>
  <si>
    <t>Units Offered (Seed)</t>
  </si>
  <si>
    <t>FD Post-Money Shares</t>
  </si>
  <si>
    <t>Founders %</t>
  </si>
  <si>
    <t>Option Pool %</t>
  </si>
  <si>
    <t>Series Seed %</t>
  </si>
  <si>
    <t>Revenue generated from Investible Properties</t>
  </si>
  <si>
    <t>Year 1</t>
  </si>
  <si>
    <t>Sellers of tokens from investible properties</t>
  </si>
  <si>
    <t>Using 3M as our average RE value</t>
  </si>
  <si>
    <t>Initial Fees Charged</t>
  </si>
  <si>
    <t>Ongoing Fees Charged</t>
  </si>
  <si>
    <t>Number of Properties on the Platform</t>
  </si>
  <si>
    <t>These numbers are derived from # Marketing Spend EFGHI 14</t>
  </si>
  <si>
    <t>Average Value of Property</t>
  </si>
  <si>
    <t xml:space="preserve">Total Listed Value </t>
  </si>
  <si>
    <t>We retain 1.5% of the listed value.  Shown on 4. Retained Holdings</t>
  </si>
  <si>
    <t xml:space="preserve">Revenue </t>
  </si>
  <si>
    <t xml:space="preserve">Initial </t>
  </si>
  <si>
    <t>---&gt;</t>
  </si>
  <si>
    <t>This is the total listed Value C,D,E,F,G12 multiplied by the unit cost / $ 2.WorkSheet Investible Properties Sellers of Tokens G35</t>
  </si>
  <si>
    <t>Ongoing</t>
  </si>
  <si>
    <t>This is the total listed Value C,D,E,F,G12 multiplied by the ongoing fees charged B5</t>
  </si>
  <si>
    <t>Totlal Revenue</t>
  </si>
  <si>
    <t>Real Estate Sales</t>
  </si>
  <si>
    <t>Tier 1</t>
  </si>
  <si>
    <t>Tier 2</t>
  </si>
  <si>
    <t>Tier 3</t>
  </si>
  <si>
    <t xml:space="preserve">Average Value of Income Real Estate: </t>
  </si>
  <si>
    <t>Income Generating Investment Properties</t>
  </si>
  <si>
    <t xml:space="preserve">Platform Fees </t>
  </si>
  <si>
    <t>Revenue = Value * Platform Fees</t>
  </si>
  <si>
    <t>AI COGS Same as Investsible Properties</t>
  </si>
  <si>
    <t>Same AI COGS from Sellers of Tokens</t>
  </si>
  <si>
    <t xml:space="preserve">Sales Team Comissions </t>
  </si>
  <si>
    <t>Net</t>
  </si>
  <si>
    <t>Other Costs such as title insurance billed at actual Cost</t>
  </si>
  <si>
    <t>Projected Income</t>
  </si>
  <si>
    <t>Property Sales</t>
  </si>
  <si>
    <t xml:space="preserve">This Number is from Marketing Spend </t>
  </si>
  <si>
    <t>Income</t>
  </si>
  <si>
    <t xml:space="preserve">Notes:  </t>
  </si>
  <si>
    <t>The same AI plan is used here as in the sellers of tokens / fractional shares of property</t>
  </si>
  <si>
    <t xml:space="preserve">Buyer </t>
  </si>
  <si>
    <t>Tier 0</t>
  </si>
  <si>
    <t>Income:</t>
  </si>
  <si>
    <t>Free</t>
  </si>
  <si>
    <t>Buyers by Number</t>
  </si>
  <si>
    <t>These inputs are from 14. EFGHI14</t>
  </si>
  <si>
    <t>Annual</t>
  </si>
  <si>
    <t>Average Net Rev @ Tier 3</t>
  </si>
  <si>
    <t>This is the above multiplied by E16</t>
  </si>
  <si>
    <t>Cogs</t>
  </si>
  <si>
    <t>AI</t>
  </si>
  <si>
    <t>Derived From Reaserch</t>
  </si>
  <si>
    <t>Processing and Overhead</t>
  </si>
  <si>
    <t>Total Monthly</t>
  </si>
  <si>
    <t>Cogs (Annual)</t>
  </si>
  <si>
    <t>Annual Net Income / Subscription</t>
  </si>
  <si>
    <t>White Label the Platform</t>
  </si>
  <si>
    <t>Revenue Per Sale</t>
  </si>
  <si>
    <t>Number of Sales</t>
  </si>
  <si>
    <t>I picked the fibinacci sequence becasue i have no data for this input.</t>
  </si>
  <si>
    <t>Net from Sales</t>
  </si>
  <si>
    <t>Percentage of Revenue:</t>
  </si>
  <si>
    <t>Ongoing Revenue</t>
  </si>
  <si>
    <t>Retained Holdings</t>
  </si>
  <si>
    <t>Platform Retaind Token</t>
  </si>
  <si>
    <t>Total Property Value Listed</t>
  </si>
  <si>
    <t>From Tab 3 Line 12</t>
  </si>
  <si>
    <t>Value of Retained Token</t>
  </si>
  <si>
    <t>Cumulative Token Value</t>
  </si>
  <si>
    <t>This is a worksheet that determines the annual spend requrired for grass roots platform users.</t>
  </si>
  <si>
    <t>Annual Spend</t>
  </si>
  <si>
    <t>Year2</t>
  </si>
  <si>
    <t>Year3</t>
  </si>
  <si>
    <t>These Numbers Are Reflected in the OpEx</t>
  </si>
  <si>
    <t>Proiperty Investment</t>
  </si>
  <si>
    <t>This Seet Correlates to the RWAP Pricing Model V2 Sheet 8 Marking Spend</t>
  </si>
  <si>
    <t>Buyer / Investor</t>
  </si>
  <si>
    <t>Properties For Sale</t>
  </si>
  <si>
    <t>Money Spent</t>
  </si>
  <si>
    <t>Real Estate Parcels placed on platform</t>
  </si>
  <si>
    <t>Properties for Investment</t>
  </si>
  <si>
    <t>Properties Placed on Platform</t>
  </si>
  <si>
    <t>Investors / Buyers</t>
  </si>
  <si>
    <t>Tier 0 Members</t>
  </si>
  <si>
    <t>An adjustment in the marketing spend (green) will show a decrease or increase in the acquired clients / properties.</t>
  </si>
  <si>
    <t>The numnbers will carry through the entire spread sheet.  For example changing cell C3 here will refelct in changes in Tab 1. Revenue--Buyers of Tokens, and Tab 7. Conclusions.</t>
  </si>
  <si>
    <t xml:space="preserve">The clients / properties here is a function derived from information state in Appendix 11-16 the discussions of marketing costs and strategies.  </t>
  </si>
  <si>
    <t xml:space="preserve">Property Sales, Property Investment, and Buyer / Investor marketing costs are for the most part shared.  For example a spend of $7300 in Buyer / Investor would also yield similar result in acquiring properties for sale and investment on the platform because we are educating the public on what the platform offers.   However for purposes here they are shown as separate.  </t>
  </si>
  <si>
    <t>Initial</t>
  </si>
  <si>
    <t>Figures here based on accumulation of data to determine the acutal costs per property.  Figures used are the highest to account for overage for conserveative measures.</t>
  </si>
  <si>
    <t>Annual Ongoing</t>
  </si>
  <si>
    <t>Monthly charge for AI services annualized See  Appendix  []    2025.11.11 Charges for Property Owners</t>
  </si>
  <si>
    <t>Platform</t>
  </si>
  <si>
    <t>USDC Payouts (Cost to Send Dividends)</t>
  </si>
  <si>
    <t>Conversion Rates</t>
  </si>
  <si>
    <t>Gas and Costs</t>
  </si>
  <si>
    <t>Best Estimate</t>
  </si>
  <si>
    <t>AML/KYC @ 299/month annulaized</t>
  </si>
  <si>
    <t>https://sumsub.com/pricing/</t>
  </si>
  <si>
    <t>Business Wrapper</t>
  </si>
  <si>
    <t>US: Initial</t>
  </si>
  <si>
    <t>DAO and token creation and property recordation</t>
  </si>
  <si>
    <t>US: Annual Ongoing</t>
  </si>
  <si>
    <t>Maintenance</t>
  </si>
  <si>
    <t>UAE: Initial</t>
  </si>
  <si>
    <t>--</t>
  </si>
  <si>
    <t>1900 AGDM SPV Initial Registration</t>
  </si>
  <si>
    <t>UAE: Annual Ongoing</t>
  </si>
  <si>
    <t>1400 Annual Renewal + 3588 KYC Vendor Minimum</t>
  </si>
  <si>
    <t>Total COGS</t>
  </si>
  <si>
    <t>Seller of Investible Tokens</t>
  </si>
  <si>
    <t>Tier 2 Base Case</t>
  </si>
  <si>
    <t>First Year</t>
  </si>
  <si>
    <t>Second Year--&gt;</t>
  </si>
  <si>
    <t>This work sheet dirves 3. Revenue--Sellers of Tokens</t>
  </si>
  <si>
    <t>Minimum Property Valuation to Porduce Return</t>
  </si>
  <si>
    <t xml:space="preserve">Issuance Fee </t>
  </si>
  <si>
    <t>Servicing Fee</t>
  </si>
  <si>
    <t>Cost to Seller / Gross to Company</t>
  </si>
  <si>
    <t>Second Year</t>
  </si>
  <si>
    <t>Sales</t>
  </si>
  <si>
    <t>Cost of Sales Team</t>
  </si>
  <si>
    <t>Total Costs</t>
  </si>
  <si>
    <t>Unit multiplier = Total Costs / Property Value</t>
  </si>
  <si>
    <t>NET Per Property</t>
  </si>
  <si>
    <t>Initial First Year of property issuance</t>
  </si>
  <si>
    <t>Unit Multiplyier = First Year Income / Property Value</t>
  </si>
  <si>
    <t>Second Year and Ongoing</t>
  </si>
  <si>
    <t>Unit Multiplyer = Second Year Income / Property Value</t>
  </si>
  <si>
    <t>Shares Out</t>
  </si>
  <si>
    <t xml:space="preserve">P/S </t>
  </si>
  <si>
    <t>Implied Share Price</t>
  </si>
  <si>
    <t>Implied Value</t>
  </si>
  <si>
    <t>Cash-Cash ROI</t>
  </si>
  <si>
    <t xml:space="preserve">Offering Price </t>
  </si>
  <si>
    <t>Price / Unit</t>
  </si>
  <si>
    <t>Pre</t>
  </si>
  <si>
    <t xml:space="preserve">Implied Shares Min Invest. </t>
  </si>
  <si>
    <t xml:space="preserve">Post Money Valuation </t>
  </si>
  <si>
    <t xml:space="preserve">Marketing </t>
  </si>
  <si>
    <t xml:space="preserve">Pro Forma Capitalization </t>
  </si>
  <si>
    <t xml:space="preserve">Reserved for Stock Plan </t>
  </si>
  <si>
    <t>New Investors (Current Offering )</t>
  </si>
  <si>
    <t xml:space="preserve">% of Out </t>
  </si>
  <si>
    <t xml:space="preserve">Shares Out </t>
  </si>
  <si>
    <t>% of Out</t>
  </si>
  <si>
    <t>Pre-Offering</t>
  </si>
  <si>
    <t>Post-Offering</t>
  </si>
  <si>
    <t>Founders</t>
  </si>
  <si>
    <t>Class B</t>
  </si>
  <si>
    <t xml:space="preserve">Founders Voting </t>
  </si>
  <si>
    <t xml:space="preserve">Other Voting </t>
  </si>
  <si>
    <t>Use of Proceeds</t>
  </si>
  <si>
    <t>50% of Max Offering</t>
  </si>
  <si>
    <t>75% of Max Offering</t>
  </si>
  <si>
    <t xml:space="preserve">100% of Max Offering </t>
  </si>
  <si>
    <t>142.8% of Max Offering</t>
  </si>
  <si>
    <t>Development</t>
  </si>
  <si>
    <t>Working Capital</t>
  </si>
  <si>
    <t xml:space="preserve">Other </t>
  </si>
  <si>
    <t>Investments</t>
  </si>
  <si>
    <t>Allocation at 50%</t>
  </si>
  <si>
    <t>Allocation at 75%</t>
  </si>
  <si>
    <t>Allocation at 100%</t>
  </si>
  <si>
    <t>Allocation at 142.8%</t>
  </si>
  <si>
    <t xml:space="preserve">Authorized Shares </t>
  </si>
  <si>
    <t xml:space="preserve">Class A </t>
  </si>
  <si>
    <t>Blank Check Preferred</t>
  </si>
  <si>
    <t>Series Seed Preferred</t>
  </si>
  <si>
    <t xml:space="preserve">Description of Securities </t>
  </si>
  <si>
    <t>Total Common</t>
  </si>
  <si>
    <t>Worksheet Revenue Investible Properties</t>
  </si>
  <si>
    <t>Offering -- 50% to 142%</t>
  </si>
  <si>
    <t>Last Update Februrary 13,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</si>
</sst>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 numFmtId="167" formatCode="\$#,##0"/>
    <numFmt numFmtId="168" formatCode="\$#,##0.00"/>
    <numFmt numFmtId="169" formatCode="0.000%"/>
    <numFmt numFmtId="170" formatCode="_(* #,##0_);_(* \(#,##0\);_(* &quot;-&quot;??_);_(@_)"/>
    <numFmt numFmtId="171" formatCode="0.0%"/>
  </numFmts>
  <fonts count="42" x14ac:knownFonts="1">
    <font>
      <sz val="10"/>
      <color rgb="FF000000"/>
      <name val="Arial"/>
      <scheme val="minor"/>
    </font>
    <font>
      <b/>
      <sz val="12"/>
      <color theme="1"/>
      <name val="Arial"/>
      <family val="2"/>
      <scheme val="minor"/>
    </font>
    <font>
      <sz val="10"/>
      <name val="Arial"/>
      <family val="2"/>
    </font>
    <font>
      <sz val="10"/>
      <color theme="1"/>
      <name val="Arial"/>
      <family val="2"/>
      <scheme val="minor"/>
    </font>
    <font>
      <sz val="36"/>
      <color theme="1"/>
      <name val="Arial"/>
      <family val="2"/>
      <scheme val="minor"/>
    </font>
    <font>
      <b/>
      <sz val="18"/>
      <color theme="1"/>
      <name val="Times New Roman"/>
      <family val="1"/>
    </font>
    <font>
      <sz val="12"/>
      <color theme="1"/>
      <name val="Aptos Narrow"/>
      <family val="2"/>
    </font>
    <font>
      <b/>
      <sz val="12"/>
      <color theme="1"/>
      <name val="Times New Roman"/>
      <family val="1"/>
    </font>
    <font>
      <sz val="12"/>
      <color theme="1"/>
      <name val="Times New Roman"/>
      <family val="1"/>
    </font>
    <font>
      <b/>
      <sz val="13"/>
      <color theme="1"/>
      <name val="Times New Roman"/>
      <family val="1"/>
    </font>
    <font>
      <b/>
      <sz val="14"/>
      <color theme="1"/>
      <name val="Calibri"/>
      <family val="2"/>
    </font>
    <font>
      <sz val="10"/>
      <color theme="1"/>
      <name val="Arial"/>
      <family val="2"/>
    </font>
    <font>
      <b/>
      <sz val="10"/>
      <color theme="1"/>
      <name val="Arial"/>
      <family val="2"/>
      <scheme val="minor"/>
    </font>
    <font>
      <b/>
      <sz val="10"/>
      <color theme="1"/>
      <name val="Calibri"/>
      <family val="2"/>
    </font>
    <font>
      <sz val="10"/>
      <color theme="1"/>
      <name val="Calibri"/>
      <family val="2"/>
    </font>
    <font>
      <b/>
      <sz val="11"/>
      <color theme="1"/>
      <name val="Calibri"/>
      <family val="2"/>
    </font>
    <font>
      <b/>
      <sz val="16"/>
      <color theme="1"/>
      <name val="Arial"/>
      <family val="2"/>
      <scheme val="minor"/>
    </font>
    <font>
      <sz val="11"/>
      <color rgb="FF242424"/>
      <name val="Consolas"/>
      <family val="3"/>
    </font>
    <font>
      <sz val="10"/>
      <color rgb="FF000000"/>
      <name val="Aptos"/>
      <family val="2"/>
    </font>
    <font>
      <b/>
      <sz val="18"/>
      <color theme="1"/>
      <name val="Calibri"/>
      <family val="2"/>
    </font>
    <font>
      <b/>
      <sz val="11"/>
      <color theme="1"/>
      <name val="Arial"/>
      <family val="2"/>
    </font>
    <font>
      <sz val="11"/>
      <color theme="1"/>
      <name val="Arial"/>
      <family val="2"/>
    </font>
    <font>
      <b/>
      <sz val="18"/>
      <color theme="1"/>
      <name val="Arial"/>
      <family val="2"/>
    </font>
    <font>
      <b/>
      <sz val="10"/>
      <color theme="1"/>
      <name val="Arial"/>
      <family val="2"/>
    </font>
    <font>
      <sz val="11"/>
      <color rgb="FF242424"/>
      <name val="Aptos Narrow"/>
      <family val="2"/>
    </font>
    <font>
      <sz val="11"/>
      <color theme="1"/>
      <name val="Calibri"/>
      <family val="2"/>
    </font>
    <font>
      <sz val="12"/>
      <color theme="1"/>
      <name val="Arial"/>
      <family val="2"/>
    </font>
    <font>
      <sz val="12"/>
      <color theme="1"/>
      <name val="Arial"/>
      <family val="2"/>
      <scheme val="minor"/>
    </font>
    <font>
      <u/>
      <sz val="12"/>
      <color theme="1"/>
      <name val="Aptos Narrow"/>
      <family val="2"/>
    </font>
    <font>
      <u/>
      <sz val="12"/>
      <color theme="1"/>
      <name val="Aptos Narrow"/>
      <family val="2"/>
    </font>
    <font>
      <u/>
      <sz val="12"/>
      <color theme="1"/>
      <name val="Aptos Narrow"/>
      <family val="2"/>
    </font>
    <font>
      <b/>
      <u/>
      <sz val="12"/>
      <color theme="1"/>
      <name val="Aptos Narrow"/>
      <family val="2"/>
    </font>
    <font>
      <u/>
      <sz val="12"/>
      <color theme="1"/>
      <name val="Aptos Narrow"/>
      <family val="2"/>
    </font>
    <font>
      <sz val="10"/>
      <color theme="1"/>
      <name val="Arial"/>
      <family val="2"/>
      <scheme val="minor"/>
    </font>
    <font>
      <b/>
      <u/>
      <sz val="12"/>
      <color theme="1"/>
      <name val="Aptos Narrow"/>
      <family val="2"/>
    </font>
    <font>
      <sz val="10"/>
      <color theme="1"/>
      <name val="Aptos Narrow"/>
      <family val="2"/>
    </font>
    <font>
      <sz val="10"/>
      <color theme="1"/>
      <name val="Arial"/>
      <family val="2"/>
    </font>
    <font>
      <b/>
      <sz val="12"/>
      <color rgb="FF000000"/>
      <name val="Times New Roman"/>
      <family val="1"/>
    </font>
    <font>
      <sz val="12"/>
      <color rgb="FF000000"/>
      <name val="Times New Roman"/>
      <family val="1"/>
    </font>
    <font>
      <sz val="10"/>
      <color rgb="FF000000"/>
      <name val="Arial"/>
      <family val="2"/>
      <scheme val="minor"/>
    </font>
    <font>
      <b/>
      <sz val="10"/>
      <color rgb="FF000000"/>
      <name val="Arial"/>
      <family val="2"/>
      <scheme val="minor"/>
    </font>
    <font>
      <sz val="10"/>
      <color rgb="FF000000"/>
      <name val="Arial"/>
      <family val="2"/>
      <scheme val="minor"/>
    </font>
  </fonts>
  <fills count="10">
    <fill>
      <patternFill patternType="none"/>
    </fill>
    <fill>
      <patternFill patternType="gray125"/>
    </fill>
    <fill>
      <patternFill patternType="solid">
        <fgColor rgb="FFFFFFFF"/>
        <bgColor rgb="FFFFFFFF"/>
      </patternFill>
    </fill>
    <fill>
      <patternFill patternType="solid">
        <fgColor rgb="FF00FF00"/>
        <bgColor rgb="FF00FF00"/>
      </patternFill>
    </fill>
    <fill>
      <patternFill patternType="solid">
        <fgColor rgb="FFF0F0F0"/>
        <bgColor rgb="FFF0F0F0"/>
      </patternFill>
    </fill>
    <fill>
      <patternFill patternType="solid">
        <fgColor rgb="FFD9D9D9"/>
        <bgColor rgb="FFD9D9D9"/>
      </patternFill>
    </fill>
    <fill>
      <patternFill patternType="solid">
        <fgColor rgb="FF60CBF3"/>
        <bgColor rgb="FF60CBF3"/>
      </patternFill>
    </fill>
    <fill>
      <patternFill patternType="solid">
        <fgColor rgb="FF8ED873"/>
        <bgColor rgb="FF8ED873"/>
      </patternFill>
    </fill>
    <fill>
      <patternFill patternType="solid">
        <fgColor theme="4" tint="0.79998168889431442"/>
        <bgColor indexed="64"/>
      </patternFill>
    </fill>
    <fill>
      <patternFill patternType="solid">
        <fgColor theme="4" tint="0.79998168889431442"/>
        <bgColor rgb="FF00FF00"/>
      </patternFill>
    </fill>
  </fills>
  <borders count="26">
    <border>
      <left/>
      <right/>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39" fillId="0" borderId="0" applyFont="0" applyFill="0" applyBorder="0" applyAlignment="0" applyProtection="0"/>
    <xf numFmtId="44" fontId="39" fillId="0" borderId="0" applyFont="0" applyFill="0" applyBorder="0" applyAlignment="0" applyProtection="0"/>
    <xf numFmtId="9" fontId="41" fillId="0" borderId="0" applyFont="0" applyFill="0" applyBorder="0" applyAlignment="0" applyProtection="0"/>
  </cellStyleXfs>
  <cellXfs count="222">
    <xf numFmtId="0" fontId="0" fillId="0" borderId="0" xfId="0"/>
    <xf numFmtId="0" fontId="3" fillId="0" borderId="3" xfId="0" applyFont="1" applyBorder="1"/>
    <xf numFmtId="0" fontId="3" fillId="0" borderId="4" xfId="0" applyFont="1" applyBorder="1"/>
    <xf numFmtId="0" fontId="4" fillId="0" borderId="0" xfId="0" applyFont="1"/>
    <xf numFmtId="0" fontId="3"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1" fillId="2" borderId="8" xfId="0" applyFont="1" applyFill="1" applyBorder="1"/>
    <xf numFmtId="0" fontId="11" fillId="2" borderId="10" xfId="0" applyFont="1" applyFill="1" applyBorder="1"/>
    <xf numFmtId="0" fontId="12" fillId="0" borderId="11" xfId="0" applyFont="1" applyBorder="1" applyAlignment="1">
      <alignment horizontal="center"/>
    </xf>
    <xf numFmtId="0" fontId="13" fillId="2" borderId="12" xfId="0" applyFont="1" applyFill="1" applyBorder="1"/>
    <xf numFmtId="0" fontId="11" fillId="2" borderId="13" xfId="0" applyFont="1" applyFill="1" applyBorder="1"/>
    <xf numFmtId="164" fontId="11" fillId="0" borderId="13" xfId="0" applyNumberFormat="1" applyFont="1" applyBorder="1"/>
    <xf numFmtId="0" fontId="11" fillId="2" borderId="12" xfId="0" applyFont="1" applyFill="1" applyBorder="1"/>
    <xf numFmtId="0" fontId="14" fillId="2" borderId="13" xfId="0" applyFont="1" applyFill="1" applyBorder="1"/>
    <xf numFmtId="0" fontId="14" fillId="2" borderId="12" xfId="0" applyFont="1" applyFill="1" applyBorder="1"/>
    <xf numFmtId="0" fontId="14" fillId="2" borderId="10" xfId="0" applyFont="1" applyFill="1" applyBorder="1"/>
    <xf numFmtId="164" fontId="11" fillId="0" borderId="10" xfId="0" applyNumberFormat="1" applyFont="1" applyBorder="1"/>
    <xf numFmtId="0" fontId="11" fillId="0" borderId="10" xfId="0" applyFont="1" applyBorder="1"/>
    <xf numFmtId="0" fontId="13" fillId="2" borderId="8" xfId="0" applyFont="1" applyFill="1" applyBorder="1"/>
    <xf numFmtId="9" fontId="11" fillId="0" borderId="10" xfId="0" applyNumberFormat="1" applyFont="1" applyBorder="1"/>
    <xf numFmtId="44" fontId="11" fillId="0" borderId="13" xfId="0" applyNumberFormat="1" applyFont="1" applyBorder="1"/>
    <xf numFmtId="0" fontId="14" fillId="2" borderId="8" xfId="0" applyFont="1" applyFill="1" applyBorder="1"/>
    <xf numFmtId="44" fontId="11" fillId="0" borderId="10" xfId="0" applyNumberFormat="1" applyFont="1" applyBorder="1"/>
    <xf numFmtId="44" fontId="11" fillId="2" borderId="13" xfId="0" applyNumberFormat="1" applyFont="1" applyFill="1" applyBorder="1"/>
    <xf numFmtId="0" fontId="11" fillId="0" borderId="13" xfId="0" applyFont="1" applyBorder="1"/>
    <xf numFmtId="0" fontId="15" fillId="2" borderId="8" xfId="0" applyFont="1" applyFill="1" applyBorder="1"/>
    <xf numFmtId="0" fontId="11" fillId="0" borderId="8" xfId="0" applyFont="1" applyBorder="1"/>
    <xf numFmtId="0" fontId="11" fillId="0" borderId="9" xfId="0" applyFont="1" applyBorder="1"/>
    <xf numFmtId="0" fontId="12" fillId="0" borderId="14" xfId="0" applyFont="1" applyBorder="1"/>
    <xf numFmtId="0" fontId="3" fillId="0" borderId="14" xfId="0" applyFont="1" applyBorder="1"/>
    <xf numFmtId="0" fontId="3" fillId="0" borderId="15" xfId="0" applyFont="1" applyBorder="1"/>
    <xf numFmtId="0" fontId="3" fillId="0" borderId="12" xfId="0" applyFont="1" applyBorder="1"/>
    <xf numFmtId="0" fontId="3" fillId="0" borderId="13" xfId="0" applyFont="1" applyBorder="1"/>
    <xf numFmtId="164" fontId="3" fillId="0" borderId="13" xfId="0" applyNumberFormat="1" applyFont="1" applyBorder="1"/>
    <xf numFmtId="164" fontId="3" fillId="0" borderId="7" xfId="0" applyNumberFormat="1" applyFont="1" applyBorder="1"/>
    <xf numFmtId="164" fontId="3" fillId="0" borderId="16" xfId="0" applyNumberFormat="1" applyFont="1" applyBorder="1"/>
    <xf numFmtId="164" fontId="3" fillId="0" borderId="0" xfId="0" applyNumberFormat="1" applyFont="1"/>
    <xf numFmtId="164" fontId="3" fillId="0" borderId="17" xfId="0" applyNumberFormat="1" applyFont="1" applyBorder="1"/>
    <xf numFmtId="164" fontId="3" fillId="0" borderId="18" xfId="0" applyNumberFormat="1" applyFont="1" applyBorder="1"/>
    <xf numFmtId="164" fontId="3" fillId="0" borderId="15" xfId="0" applyNumberFormat="1" applyFont="1" applyBorder="1"/>
    <xf numFmtId="0" fontId="3" fillId="0" borderId="0" xfId="0" applyFont="1" applyAlignment="1">
      <alignment wrapText="1"/>
    </xf>
    <xf numFmtId="164" fontId="3" fillId="0" borderId="12" xfId="0" applyNumberFormat="1" applyFont="1" applyBorder="1"/>
    <xf numFmtId="0" fontId="3" fillId="0" borderId="19" xfId="0" applyFont="1" applyBorder="1"/>
    <xf numFmtId="164" fontId="3" fillId="0" borderId="19" xfId="0" applyNumberFormat="1" applyFont="1" applyBorder="1"/>
    <xf numFmtId="164" fontId="3" fillId="0" borderId="11" xfId="0" applyNumberFormat="1" applyFont="1" applyBorder="1"/>
    <xf numFmtId="0" fontId="3" fillId="0" borderId="5" xfId="0" applyFont="1" applyBorder="1"/>
    <xf numFmtId="0" fontId="3" fillId="0" borderId="6" xfId="0" applyFont="1" applyBorder="1"/>
    <xf numFmtId="164" fontId="3" fillId="0" borderId="6" xfId="0" applyNumberFormat="1" applyFont="1" applyBorder="1"/>
    <xf numFmtId="0" fontId="3" fillId="0" borderId="8" xfId="0" applyFont="1" applyBorder="1"/>
    <xf numFmtId="0" fontId="3" fillId="0" borderId="9" xfId="0" applyFont="1" applyBorder="1"/>
    <xf numFmtId="164" fontId="3" fillId="0" borderId="9" xfId="0" applyNumberFormat="1" applyFont="1" applyBorder="1"/>
    <xf numFmtId="0" fontId="12" fillId="0" borderId="11" xfId="0" applyFont="1" applyBorder="1"/>
    <xf numFmtId="0" fontId="12" fillId="0" borderId="6" xfId="0" applyFont="1" applyBorder="1"/>
    <xf numFmtId="9" fontId="3" fillId="0" borderId="16" xfId="0" applyNumberFormat="1" applyFont="1" applyBorder="1"/>
    <xf numFmtId="0" fontId="17" fillId="0" borderId="0" xfId="0" applyFont="1" applyAlignment="1">
      <alignment horizontal="left"/>
    </xf>
    <xf numFmtId="164" fontId="18" fillId="0" borderId="17" xfId="0" applyNumberFormat="1" applyFont="1" applyBorder="1"/>
    <xf numFmtId="0" fontId="12" fillId="0" borderId="0" xfId="0" applyFont="1"/>
    <xf numFmtId="0" fontId="11" fillId="0" borderId="17" xfId="0" applyFont="1" applyBorder="1"/>
    <xf numFmtId="0" fontId="21" fillId="2" borderId="13" xfId="0" applyFont="1" applyFill="1" applyBorder="1"/>
    <xf numFmtId="44" fontId="11" fillId="0" borderId="17" xfId="0" applyNumberFormat="1" applyFont="1" applyBorder="1"/>
    <xf numFmtId="0" fontId="21" fillId="2" borderId="0" xfId="0" applyFont="1" applyFill="1"/>
    <xf numFmtId="0" fontId="11" fillId="0" borderId="18" xfId="0" applyFont="1" applyBorder="1"/>
    <xf numFmtId="44" fontId="11" fillId="0" borderId="18" xfId="0" applyNumberFormat="1" applyFont="1" applyBorder="1"/>
    <xf numFmtId="0" fontId="11" fillId="2" borderId="17" xfId="0" applyFont="1" applyFill="1" applyBorder="1"/>
    <xf numFmtId="44" fontId="11" fillId="2" borderId="17" xfId="0" applyNumberFormat="1" applyFont="1" applyFill="1" applyBorder="1"/>
    <xf numFmtId="0" fontId="11" fillId="2" borderId="18" xfId="0" applyFont="1" applyFill="1" applyBorder="1"/>
    <xf numFmtId="44" fontId="11" fillId="2" borderId="18" xfId="0" applyNumberFormat="1" applyFont="1" applyFill="1" applyBorder="1"/>
    <xf numFmtId="164" fontId="11" fillId="0" borderId="17" xfId="0" applyNumberFormat="1" applyFont="1" applyBorder="1"/>
    <xf numFmtId="0" fontId="11" fillId="2" borderId="0" xfId="0" applyFont="1" applyFill="1"/>
    <xf numFmtId="164" fontId="11" fillId="0" borderId="18" xfId="0" applyNumberFormat="1" applyFont="1" applyBorder="1"/>
    <xf numFmtId="0" fontId="11" fillId="0" borderId="0" xfId="0" applyFont="1"/>
    <xf numFmtId="0" fontId="24" fillId="0" borderId="0" xfId="0" applyFont="1"/>
    <xf numFmtId="164" fontId="11" fillId="2" borderId="18" xfId="0" applyNumberFormat="1" applyFont="1" applyFill="1" applyBorder="1"/>
    <xf numFmtId="0" fontId="3" fillId="0" borderId="10" xfId="0" applyFont="1" applyBorder="1"/>
    <xf numFmtId="165" fontId="3" fillId="0" borderId="0" xfId="0" applyNumberFormat="1" applyFont="1"/>
    <xf numFmtId="0" fontId="3" fillId="0" borderId="0" xfId="0" applyFont="1" applyAlignment="1">
      <alignment horizontal="right" wrapText="1"/>
    </xf>
    <xf numFmtId="165" fontId="12" fillId="0" borderId="14" xfId="0" applyNumberFormat="1" applyFont="1" applyBorder="1" applyAlignment="1">
      <alignment wrapText="1"/>
    </xf>
    <xf numFmtId="165" fontId="3" fillId="0" borderId="15" xfId="0" applyNumberFormat="1" applyFont="1" applyBorder="1"/>
    <xf numFmtId="0" fontId="12" fillId="0" borderId="0" xfId="0" applyFont="1" applyAlignment="1">
      <alignment horizontal="center" vertical="center" wrapText="1"/>
    </xf>
    <xf numFmtId="0" fontId="12" fillId="0" borderId="0" xfId="0" applyFont="1" applyAlignment="1">
      <alignment wrapText="1"/>
    </xf>
    <xf numFmtId="0" fontId="3" fillId="3" borderId="8" xfId="0" applyFont="1" applyFill="1" applyBorder="1"/>
    <xf numFmtId="0" fontId="3" fillId="3" borderId="9" xfId="0" applyFont="1" applyFill="1" applyBorder="1"/>
    <xf numFmtId="0" fontId="3" fillId="3" borderId="10" xfId="0" applyFont="1" applyFill="1" applyBorder="1"/>
    <xf numFmtId="0" fontId="3" fillId="0" borderId="0" xfId="0" applyFont="1" applyAlignment="1">
      <alignment horizontal="right"/>
    </xf>
    <xf numFmtId="0" fontId="15" fillId="0" borderId="0" xfId="0" applyFont="1"/>
    <xf numFmtId="165" fontId="3" fillId="0" borderId="0" xfId="0" applyNumberFormat="1" applyFont="1" applyAlignment="1">
      <alignment horizontal="center"/>
    </xf>
    <xf numFmtId="0" fontId="3" fillId="0" borderId="0" xfId="0" applyFont="1" applyAlignment="1">
      <alignment horizontal="center"/>
    </xf>
    <xf numFmtId="0" fontId="25" fillId="0" borderId="0" xfId="0" applyFont="1"/>
    <xf numFmtId="0" fontId="12" fillId="0" borderId="0" xfId="0" applyFont="1" applyAlignment="1">
      <alignment horizontal="center" vertical="center"/>
    </xf>
    <xf numFmtId="165" fontId="25" fillId="0" borderId="0" xfId="0" applyNumberFormat="1" applyFont="1" applyAlignment="1">
      <alignment horizontal="center"/>
    </xf>
    <xf numFmtId="0" fontId="3" fillId="0" borderId="0" xfId="0" applyFont="1" applyAlignment="1">
      <alignment horizontal="left" wrapText="1"/>
    </xf>
    <xf numFmtId="0" fontId="15" fillId="0" borderId="11" xfId="0" applyFont="1" applyBorder="1" applyAlignment="1">
      <alignment horizontal="center" vertical="top"/>
    </xf>
    <xf numFmtId="166" fontId="25" fillId="0" borderId="0" xfId="0" applyNumberFormat="1" applyFont="1" applyAlignment="1">
      <alignment horizontal="right"/>
    </xf>
    <xf numFmtId="166" fontId="3" fillId="0" borderId="0" xfId="0" applyNumberFormat="1" applyFont="1"/>
    <xf numFmtId="165" fontId="25" fillId="0" borderId="0" xfId="0" applyNumberFormat="1" applyFont="1" applyAlignment="1">
      <alignment horizontal="right"/>
    </xf>
    <xf numFmtId="0" fontId="15" fillId="0" borderId="0" xfId="0" applyFont="1" applyAlignment="1">
      <alignment horizontal="center" vertical="top"/>
    </xf>
    <xf numFmtId="0" fontId="25" fillId="0" borderId="0" xfId="0" applyFont="1" applyAlignment="1">
      <alignment horizontal="right"/>
    </xf>
    <xf numFmtId="0" fontId="3" fillId="0" borderId="22" xfId="0" applyFont="1" applyBorder="1" applyAlignment="1">
      <alignment wrapText="1"/>
    </xf>
    <xf numFmtId="0" fontId="10" fillId="0" borderId="9" xfId="0" applyFont="1" applyBorder="1"/>
    <xf numFmtId="0" fontId="15" fillId="4" borderId="11" xfId="0" applyFont="1" applyFill="1" applyBorder="1"/>
    <xf numFmtId="0" fontId="15" fillId="5" borderId="11" xfId="0" applyFont="1" applyFill="1" applyBorder="1" applyAlignment="1">
      <alignment horizontal="center"/>
    </xf>
    <xf numFmtId="0" fontId="25" fillId="0" borderId="11" xfId="0" applyFont="1" applyBorder="1"/>
    <xf numFmtId="0" fontId="25" fillId="0" borderId="11" xfId="0" applyFont="1" applyBorder="1" applyAlignment="1">
      <alignment horizontal="left"/>
    </xf>
    <xf numFmtId="3" fontId="25" fillId="0" borderId="11" xfId="0" applyNumberFormat="1" applyFont="1" applyBorder="1" applyAlignment="1">
      <alignment horizontal="left"/>
    </xf>
    <xf numFmtId="3" fontId="25" fillId="0" borderId="11" xfId="0" applyNumberFormat="1" applyFont="1" applyBorder="1"/>
    <xf numFmtId="168" fontId="25" fillId="0" borderId="11" xfId="0" applyNumberFormat="1" applyFont="1" applyBorder="1"/>
    <xf numFmtId="0" fontId="15" fillId="5" borderId="11" xfId="0" applyFont="1" applyFill="1" applyBorder="1" applyAlignment="1">
      <alignment horizontal="left"/>
    </xf>
    <xf numFmtId="168" fontId="25" fillId="0" borderId="11" xfId="0" applyNumberFormat="1" applyFont="1" applyBorder="1" applyAlignment="1">
      <alignment horizontal="left"/>
    </xf>
    <xf numFmtId="10" fontId="25" fillId="0" borderId="11" xfId="0" applyNumberFormat="1" applyFont="1" applyBorder="1" applyAlignment="1">
      <alignment horizontal="left"/>
    </xf>
    <xf numFmtId="0" fontId="26" fillId="0" borderId="0" xfId="0" applyFont="1" applyAlignment="1">
      <alignment wrapText="1"/>
    </xf>
    <xf numFmtId="0" fontId="26" fillId="0" borderId="0" xfId="0" applyFont="1"/>
    <xf numFmtId="10" fontId="6" fillId="0" borderId="0" xfId="0" applyNumberFormat="1" applyFont="1" applyAlignment="1">
      <alignment horizontal="right"/>
    </xf>
    <xf numFmtId="2" fontId="6" fillId="6" borderId="24" xfId="0" applyNumberFormat="1" applyFont="1" applyFill="1" applyBorder="1" applyAlignment="1">
      <alignment horizontal="right"/>
    </xf>
    <xf numFmtId="164" fontId="26" fillId="0" borderId="0" xfId="0" applyNumberFormat="1" applyFont="1" applyAlignment="1">
      <alignment horizontal="right"/>
    </xf>
    <xf numFmtId="164" fontId="6" fillId="0" borderId="0" xfId="0" applyNumberFormat="1" applyFont="1"/>
    <xf numFmtId="164" fontId="6" fillId="0" borderId="0" xfId="0" applyNumberFormat="1" applyFont="1" applyAlignment="1">
      <alignment horizontal="right"/>
    </xf>
    <xf numFmtId="0" fontId="26" fillId="0" borderId="0" xfId="0" applyFont="1" applyAlignment="1">
      <alignment horizontal="center"/>
    </xf>
    <xf numFmtId="0" fontId="27" fillId="0" borderId="0" xfId="0" applyFont="1"/>
    <xf numFmtId="0" fontId="28" fillId="0" borderId="0" xfId="0" applyFont="1"/>
    <xf numFmtId="164" fontId="29" fillId="0" borderId="0" xfId="0" applyNumberFormat="1" applyFont="1" applyAlignment="1">
      <alignment horizontal="right"/>
    </xf>
    <xf numFmtId="44" fontId="26" fillId="0" borderId="0" xfId="0" applyNumberFormat="1" applyFont="1" applyAlignment="1">
      <alignment horizontal="right"/>
    </xf>
    <xf numFmtId="44" fontId="6" fillId="0" borderId="0" xfId="0" applyNumberFormat="1" applyFont="1" applyAlignment="1">
      <alignment horizontal="right"/>
    </xf>
    <xf numFmtId="10" fontId="6" fillId="7" borderId="24" xfId="0" applyNumberFormat="1" applyFont="1" applyFill="1" applyBorder="1" applyAlignment="1">
      <alignment horizontal="right"/>
    </xf>
    <xf numFmtId="10" fontId="6" fillId="0" borderId="0" xfId="0" applyNumberFormat="1" applyFont="1"/>
    <xf numFmtId="9" fontId="26" fillId="0" borderId="0" xfId="0" applyNumberFormat="1" applyFont="1" applyAlignment="1">
      <alignment horizontal="right"/>
    </xf>
    <xf numFmtId="166" fontId="6" fillId="0" borderId="0" xfId="0" applyNumberFormat="1" applyFont="1" applyAlignment="1">
      <alignment horizontal="right"/>
    </xf>
    <xf numFmtId="44" fontId="30" fillId="0" borderId="0" xfId="0" applyNumberFormat="1" applyFont="1" applyAlignment="1">
      <alignment horizontal="right"/>
    </xf>
    <xf numFmtId="0" fontId="6" fillId="0" borderId="0" xfId="0" applyFont="1" applyAlignment="1">
      <alignment horizontal="center"/>
    </xf>
    <xf numFmtId="2" fontId="6" fillId="0" borderId="0" xfId="0" applyNumberFormat="1" applyFont="1"/>
    <xf numFmtId="44" fontId="6" fillId="0" borderId="0" xfId="0" applyNumberFormat="1" applyFont="1"/>
    <xf numFmtId="44" fontId="6" fillId="7" borderId="24" xfId="0" applyNumberFormat="1" applyFont="1" applyFill="1" applyBorder="1" applyAlignment="1">
      <alignment horizontal="right" wrapText="1"/>
    </xf>
    <xf numFmtId="44" fontId="6" fillId="7" borderId="24" xfId="0" applyNumberFormat="1" applyFont="1" applyFill="1" applyBorder="1" applyAlignment="1">
      <alignment horizontal="right"/>
    </xf>
    <xf numFmtId="2" fontId="6" fillId="0" borderId="0" xfId="0" applyNumberFormat="1" applyFont="1" applyAlignment="1">
      <alignment horizontal="right"/>
    </xf>
    <xf numFmtId="0" fontId="6" fillId="7" borderId="24" xfId="0" applyFont="1" applyFill="1" applyBorder="1" applyAlignment="1">
      <alignment horizontal="right"/>
    </xf>
    <xf numFmtId="9" fontId="6" fillId="7" borderId="24" xfId="0" applyNumberFormat="1" applyFont="1" applyFill="1" applyBorder="1" applyAlignment="1">
      <alignment horizontal="right"/>
    </xf>
    <xf numFmtId="0" fontId="31" fillId="0" borderId="0" xfId="0" applyFont="1"/>
    <xf numFmtId="164" fontId="6" fillId="0" borderId="0" xfId="0" quotePrefix="1" applyNumberFormat="1" applyFont="1"/>
    <xf numFmtId="0" fontId="26" fillId="0" borderId="0" xfId="0" applyFont="1" applyAlignment="1">
      <alignment horizontal="center" vertical="top"/>
    </xf>
    <xf numFmtId="3" fontId="6" fillId="0" borderId="0" xfId="0" applyNumberFormat="1" applyFont="1"/>
    <xf numFmtId="0" fontId="3" fillId="0" borderId="0" xfId="0" applyFont="1" applyAlignment="1">
      <alignment horizontal="left"/>
    </xf>
    <xf numFmtId="164" fontId="32" fillId="0" borderId="0" xfId="0" applyNumberFormat="1" applyFont="1"/>
    <xf numFmtId="0" fontId="33" fillId="0" borderId="0" xfId="0" applyFont="1" applyAlignment="1">
      <alignment horizontal="left"/>
    </xf>
    <xf numFmtId="0" fontId="33" fillId="0" borderId="0" xfId="0" applyFont="1"/>
    <xf numFmtId="164" fontId="34" fillId="0" borderId="0" xfId="0" applyNumberFormat="1" applyFont="1" applyAlignment="1">
      <alignment horizontal="right"/>
    </xf>
    <xf numFmtId="0" fontId="6" fillId="0" borderId="0" xfId="0" applyFont="1" applyAlignment="1">
      <alignment horizontal="center" vertical="top"/>
    </xf>
    <xf numFmtId="0" fontId="35" fillId="0" borderId="0" xfId="0" applyFont="1" applyAlignment="1">
      <alignment horizontal="left"/>
    </xf>
    <xf numFmtId="0" fontId="36" fillId="0" borderId="0" xfId="0" applyFont="1"/>
    <xf numFmtId="169" fontId="6" fillId="0" borderId="0" xfId="0" applyNumberFormat="1" applyFont="1" applyAlignment="1">
      <alignment horizontal="right"/>
    </xf>
    <xf numFmtId="169" fontId="3" fillId="0" borderId="0" xfId="0" applyNumberFormat="1" applyFont="1"/>
    <xf numFmtId="0" fontId="39" fillId="0" borderId="0" xfId="0" applyFont="1"/>
    <xf numFmtId="43" fontId="0" fillId="0" borderId="0" xfId="1" applyFont="1"/>
    <xf numFmtId="170" fontId="0" fillId="0" borderId="0" xfId="1" applyNumberFormat="1" applyFont="1"/>
    <xf numFmtId="44" fontId="0" fillId="0" borderId="0" xfId="2" applyFont="1"/>
    <xf numFmtId="164" fontId="0" fillId="0" borderId="0" xfId="2" applyNumberFormat="1" applyFont="1"/>
    <xf numFmtId="0" fontId="40" fillId="0" borderId="0" xfId="0" applyFont="1" applyAlignment="1">
      <alignment horizontal="center"/>
    </xf>
    <xf numFmtId="0" fontId="12" fillId="0" borderId="24" xfId="0" applyFont="1" applyBorder="1" applyAlignment="1">
      <alignment horizontal="left"/>
    </xf>
    <xf numFmtId="0" fontId="40" fillId="0" borderId="0" xfId="0" applyFont="1"/>
    <xf numFmtId="44" fontId="40" fillId="0" borderId="0" xfId="2" applyFont="1"/>
    <xf numFmtId="43" fontId="0" fillId="8" borderId="25" xfId="1" applyFont="1" applyFill="1" applyBorder="1"/>
    <xf numFmtId="167" fontId="25" fillId="8" borderId="11" xfId="0" applyNumberFormat="1" applyFont="1" applyFill="1" applyBorder="1" applyAlignment="1">
      <alignment horizontal="left"/>
    </xf>
    <xf numFmtId="0" fontId="25" fillId="0" borderId="11" xfId="0" applyFont="1" applyBorder="1" applyAlignment="1">
      <alignment horizontal="center"/>
    </xf>
    <xf numFmtId="10" fontId="25" fillId="9" borderId="11" xfId="0" applyNumberFormat="1" applyFont="1" applyFill="1" applyBorder="1" applyAlignment="1">
      <alignment horizontal="left"/>
    </xf>
    <xf numFmtId="167" fontId="25" fillId="9" borderId="11" xfId="0" applyNumberFormat="1" applyFont="1" applyFill="1" applyBorder="1" applyAlignment="1">
      <alignment horizontal="left"/>
    </xf>
    <xf numFmtId="164" fontId="0" fillId="0" borderId="0" xfId="0" applyNumberFormat="1"/>
    <xf numFmtId="0" fontId="25" fillId="9" borderId="11" xfId="0" applyFont="1" applyFill="1" applyBorder="1"/>
    <xf numFmtId="3" fontId="25" fillId="8" borderId="11" xfId="0" applyNumberFormat="1" applyFont="1" applyFill="1" applyBorder="1" applyAlignment="1">
      <alignment horizontal="left"/>
    </xf>
    <xf numFmtId="168" fontId="25" fillId="8" borderId="11" xfId="0" applyNumberFormat="1" applyFont="1" applyFill="1" applyBorder="1" applyAlignment="1">
      <alignment horizontal="left"/>
    </xf>
    <xf numFmtId="0" fontId="15" fillId="5" borderId="12" xfId="0" applyFont="1" applyFill="1" applyBorder="1" applyAlignment="1">
      <alignment horizontal="center"/>
    </xf>
    <xf numFmtId="164" fontId="25" fillId="8" borderId="16" xfId="2" applyNumberFormat="1" applyFont="1" applyFill="1" applyBorder="1" applyAlignment="1">
      <alignment horizontal="center"/>
    </xf>
    <xf numFmtId="170" fontId="0" fillId="0" borderId="25" xfId="1" applyNumberFormat="1" applyFont="1" applyBorder="1"/>
    <xf numFmtId="0" fontId="15" fillId="5" borderId="16" xfId="0" applyFont="1" applyFill="1" applyBorder="1" applyAlignment="1">
      <alignment horizontal="center"/>
    </xf>
    <xf numFmtId="0" fontId="15" fillId="5" borderId="25" xfId="0" applyFont="1" applyFill="1" applyBorder="1" applyAlignment="1">
      <alignment horizontal="center"/>
    </xf>
    <xf numFmtId="170" fontId="0" fillId="0" borderId="0" xfId="0" applyNumberFormat="1"/>
    <xf numFmtId="3" fontId="0" fillId="0" borderId="0" xfId="0" applyNumberFormat="1"/>
    <xf numFmtId="171" fontId="0" fillId="0" borderId="0" xfId="3" applyNumberFormat="1" applyFont="1"/>
    <xf numFmtId="3" fontId="40" fillId="0" borderId="0" xfId="0" applyNumberFormat="1" applyFont="1"/>
    <xf numFmtId="171" fontId="40" fillId="0" borderId="0" xfId="3" applyNumberFormat="1" applyFont="1"/>
    <xf numFmtId="0" fontId="39" fillId="0" borderId="0" xfId="0" applyFont="1" applyAlignment="1">
      <alignment horizontal="center"/>
    </xf>
    <xf numFmtId="3" fontId="0" fillId="0" borderId="0" xfId="0" applyNumberFormat="1" applyAlignment="1">
      <alignment horizontal="center"/>
    </xf>
    <xf numFmtId="171" fontId="0" fillId="0" borderId="0" xfId="0" applyNumberFormat="1"/>
    <xf numFmtId="0" fontId="0" fillId="0" borderId="0" xfId="0" applyAlignment="1">
      <alignment horizontal="center" vertical="center" wrapText="1"/>
    </xf>
    <xf numFmtId="0" fontId="0" fillId="0" borderId="0" xfId="0" applyAlignment="1">
      <alignment horizontal="left" vertical="center"/>
    </xf>
    <xf numFmtId="44" fontId="3" fillId="0" borderId="23" xfId="0" applyNumberFormat="1" applyFont="1" applyBorder="1"/>
    <xf numFmtId="0" fontId="1" fillId="0" borderId="1" xfId="0" applyFont="1" applyBorder="1" applyAlignment="1">
      <alignment horizontal="center" vertical="center"/>
    </xf>
    <xf numFmtId="0" fontId="2" fillId="0" borderId="2" xfId="0" applyFont="1" applyBorder="1"/>
    <xf numFmtId="0" fontId="10" fillId="0" borderId="5" xfId="0" applyFont="1" applyBorder="1" applyAlignment="1">
      <alignment horizontal="center"/>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15" fillId="4" borderId="14" xfId="0" applyFont="1" applyFill="1" applyBorder="1"/>
    <xf numFmtId="0" fontId="2" fillId="0" borderId="15" xfId="0" applyFont="1" applyBorder="1"/>
    <xf numFmtId="0" fontId="2" fillId="0" borderId="19" xfId="0" applyFont="1" applyBorder="1"/>
    <xf numFmtId="0" fontId="40" fillId="0" borderId="0" xfId="0" applyFont="1" applyAlignment="1">
      <alignment horizontal="center"/>
    </xf>
    <xf numFmtId="0" fontId="16" fillId="0" borderId="5" xfId="0" applyFont="1" applyBorder="1" applyAlignment="1">
      <alignment horizontal="center" vertical="center"/>
    </xf>
    <xf numFmtId="0" fontId="3" fillId="0" borderId="0" xfId="0" applyFont="1" applyAlignment="1">
      <alignment horizontal="left" vertical="top" wrapText="1"/>
    </xf>
    <xf numFmtId="0" fontId="0" fillId="0" borderId="0" xfId="0"/>
    <xf numFmtId="0" fontId="20" fillId="2" borderId="12" xfId="0" applyFont="1" applyFill="1" applyBorder="1"/>
    <xf numFmtId="0" fontId="2" fillId="0" borderId="13" xfId="0" applyFont="1" applyBorder="1"/>
    <xf numFmtId="0" fontId="21" fillId="2" borderId="8" xfId="0" applyFont="1" applyFill="1" applyBorder="1"/>
    <xf numFmtId="0" fontId="20" fillId="0" borderId="8" xfId="0" applyFont="1" applyBorder="1"/>
    <xf numFmtId="0" fontId="20" fillId="2" borderId="8" xfId="0" applyFont="1" applyFill="1" applyBorder="1"/>
    <xf numFmtId="0" fontId="19" fillId="0" borderId="5" xfId="0" applyFont="1" applyBorder="1" applyAlignment="1">
      <alignment horizontal="center"/>
    </xf>
    <xf numFmtId="0" fontId="12" fillId="0" borderId="20" xfId="0" applyFont="1" applyBorder="1" applyAlignment="1">
      <alignment horizontal="center" vertical="center"/>
    </xf>
    <xf numFmtId="0" fontId="2" fillId="0" borderId="21" xfId="0" applyFont="1" applyBorder="1"/>
    <xf numFmtId="0" fontId="23" fillId="0" borderId="8" xfId="0" applyFont="1" applyBorder="1"/>
    <xf numFmtId="0" fontId="11" fillId="0" borderId="8" xfId="0" applyFont="1" applyBorder="1"/>
    <xf numFmtId="0" fontId="11" fillId="2" borderId="12" xfId="0" applyFont="1" applyFill="1" applyBorder="1"/>
    <xf numFmtId="0" fontId="11" fillId="2" borderId="0" xfId="0" applyFont="1" applyFill="1" applyAlignment="1">
      <alignment wrapText="1"/>
    </xf>
    <xf numFmtId="0" fontId="23" fillId="2" borderId="12" xfId="0" applyFont="1" applyFill="1" applyBorder="1"/>
    <xf numFmtId="0" fontId="11" fillId="0" borderId="12" xfId="0" applyFont="1" applyBorder="1"/>
    <xf numFmtId="0" fontId="22" fillId="0" borderId="5" xfId="0" applyFont="1" applyBorder="1" applyAlignment="1">
      <alignment horizontal="center"/>
    </xf>
    <xf numFmtId="0" fontId="12" fillId="0" borderId="5" xfId="0" applyFont="1" applyBorder="1" applyAlignment="1">
      <alignment horizontal="center"/>
    </xf>
    <xf numFmtId="0" fontId="1" fillId="0" borderId="5" xfId="0" applyFont="1" applyBorder="1" applyAlignment="1">
      <alignment horizontal="center"/>
    </xf>
    <xf numFmtId="0" fontId="12" fillId="0" borderId="14" xfId="0" applyFont="1" applyBorder="1"/>
    <xf numFmtId="0" fontId="6" fillId="0" borderId="0" xfId="0" applyFont="1" applyAlignment="1">
      <alignment vertical="top"/>
    </xf>
    <xf numFmtId="0" fontId="6"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5:C26"/>
  <sheetViews>
    <sheetView tabSelected="1" topLeftCell="A4" workbookViewId="0">
      <selection activeCell="F20" sqref="F20"/>
    </sheetView>
  </sheetViews>
  <sheetFormatPr baseColWidth="10" defaultColWidth="12.6640625" defaultRowHeight="15.75" customHeight="1" x14ac:dyDescent="0.15"/>
  <cols>
    <col min="2" max="2" width="5.83203125" customWidth="1"/>
    <col min="3" max="3" width="41.5" customWidth="1"/>
  </cols>
  <sheetData>
    <row r="5" spans="2:3" ht="15.75" customHeight="1" x14ac:dyDescent="0.15">
      <c r="B5" s="187" t="s">
        <v>0</v>
      </c>
      <c r="C5" s="188"/>
    </row>
    <row r="6" spans="2:3" ht="15.75" customHeight="1" x14ac:dyDescent="0.15">
      <c r="B6" s="1">
        <v>1</v>
      </c>
      <c r="C6" s="1" t="s">
        <v>0</v>
      </c>
    </row>
    <row r="7" spans="2:3" ht="15.75" customHeight="1" x14ac:dyDescent="0.15">
      <c r="B7" s="1">
        <v>2</v>
      </c>
      <c r="C7" s="1" t="s">
        <v>1</v>
      </c>
    </row>
    <row r="8" spans="2:3" ht="15.75" customHeight="1" x14ac:dyDescent="0.15">
      <c r="B8" s="1">
        <v>3</v>
      </c>
      <c r="C8" s="1" t="s">
        <v>2</v>
      </c>
    </row>
    <row r="9" spans="2:3" ht="15.75" customHeight="1" x14ac:dyDescent="0.15">
      <c r="B9" s="1">
        <v>4</v>
      </c>
      <c r="C9" s="1" t="s">
        <v>9</v>
      </c>
    </row>
    <row r="10" spans="2:3" ht="15.75" customHeight="1" x14ac:dyDescent="0.15">
      <c r="B10" s="1">
        <v>5</v>
      </c>
      <c r="C10" s="1" t="s">
        <v>545</v>
      </c>
    </row>
    <row r="11" spans="2:3" ht="15.75" customHeight="1" x14ac:dyDescent="0.15">
      <c r="B11" s="1">
        <v>6</v>
      </c>
      <c r="C11" s="1" t="s">
        <v>3</v>
      </c>
    </row>
    <row r="12" spans="2:3" ht="15.75" customHeight="1" x14ac:dyDescent="0.15">
      <c r="B12" s="1">
        <v>7</v>
      </c>
      <c r="C12" s="1" t="s">
        <v>4</v>
      </c>
    </row>
    <row r="13" spans="2:3" ht="15.75" customHeight="1" x14ac:dyDescent="0.15">
      <c r="B13" s="1">
        <v>8</v>
      </c>
      <c r="C13" s="1" t="s">
        <v>8</v>
      </c>
    </row>
    <row r="14" spans="2:3" ht="15.75" customHeight="1" x14ac:dyDescent="0.15">
      <c r="B14" s="1">
        <v>9</v>
      </c>
      <c r="C14" s="1" t="s">
        <v>5</v>
      </c>
    </row>
    <row r="15" spans="2:3" ht="15.75" customHeight="1" x14ac:dyDescent="0.15">
      <c r="B15" s="1">
        <v>10</v>
      </c>
      <c r="C15" s="1" t="s">
        <v>7</v>
      </c>
    </row>
    <row r="16" spans="2:3" ht="15.75" customHeight="1" x14ac:dyDescent="0.15">
      <c r="B16" s="1">
        <v>11</v>
      </c>
      <c r="C16" s="1" t="s">
        <v>6</v>
      </c>
    </row>
    <row r="17" spans="2:3" ht="15.75" customHeight="1" x14ac:dyDescent="0.15">
      <c r="B17" s="1">
        <v>12</v>
      </c>
      <c r="C17" s="1" t="s">
        <v>10</v>
      </c>
    </row>
    <row r="18" spans="2:3" ht="15.75" customHeight="1" x14ac:dyDescent="0.15">
      <c r="B18" s="1">
        <v>13</v>
      </c>
      <c r="C18" s="1" t="s">
        <v>11</v>
      </c>
    </row>
    <row r="19" spans="2:3" ht="15.75" customHeight="1" x14ac:dyDescent="0.15">
      <c r="B19" s="1">
        <v>14</v>
      </c>
      <c r="C19" s="1" t="s">
        <v>12</v>
      </c>
    </row>
    <row r="20" spans="2:3" ht="15.75" customHeight="1" x14ac:dyDescent="0.15">
      <c r="B20" s="1">
        <v>15</v>
      </c>
      <c r="C20" s="1" t="s">
        <v>13</v>
      </c>
    </row>
    <row r="21" spans="2:3" ht="15.75" customHeight="1" x14ac:dyDescent="0.15">
      <c r="B21" s="1">
        <v>16</v>
      </c>
      <c r="C21" s="1" t="s">
        <v>14</v>
      </c>
    </row>
    <row r="22" spans="2:3" ht="15.75" customHeight="1" x14ac:dyDescent="0.15">
      <c r="B22" s="1">
        <v>17</v>
      </c>
      <c r="C22" s="1" t="s">
        <v>15</v>
      </c>
    </row>
    <row r="23" spans="2:3" ht="15.75" customHeight="1" x14ac:dyDescent="0.15">
      <c r="B23" s="1">
        <v>18</v>
      </c>
      <c r="C23" s="1" t="s">
        <v>16</v>
      </c>
    </row>
    <row r="24" spans="2:3" ht="15.75" customHeight="1" x14ac:dyDescent="0.15">
      <c r="B24" s="1">
        <v>19</v>
      </c>
      <c r="C24" s="1" t="s">
        <v>544</v>
      </c>
    </row>
    <row r="25" spans="2:3" ht="15.75" customHeight="1" x14ac:dyDescent="0.15">
      <c r="B25" s="1"/>
      <c r="C25" s="1"/>
    </row>
    <row r="26" spans="2:3" ht="15.75" customHeight="1" x14ac:dyDescent="0.15">
      <c r="B26" s="2"/>
      <c r="C26" s="2" t="s">
        <v>546</v>
      </c>
    </row>
  </sheetData>
  <mergeCells count="1">
    <mergeCell ref="B5:C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1011"/>
  <sheetViews>
    <sheetView workbookViewId="0">
      <selection activeCell="B51" sqref="B51"/>
    </sheetView>
  </sheetViews>
  <sheetFormatPr baseColWidth="10" defaultColWidth="12.6640625" defaultRowHeight="15.75" customHeight="1" x14ac:dyDescent="0.15"/>
  <cols>
    <col min="2" max="2" width="45.1640625" customWidth="1"/>
    <col min="4" max="5" width="16" customWidth="1"/>
    <col min="6" max="6" width="41.83203125" customWidth="1"/>
    <col min="7" max="7" width="16.1640625" customWidth="1"/>
  </cols>
  <sheetData>
    <row r="1" spans="2:9" ht="13" x14ac:dyDescent="0.15">
      <c r="G1" s="44"/>
    </row>
    <row r="2" spans="2:9" ht="13" x14ac:dyDescent="0.15">
      <c r="G2" s="44"/>
    </row>
    <row r="3" spans="2:9" ht="13" x14ac:dyDescent="0.15">
      <c r="G3" s="44"/>
    </row>
    <row r="4" spans="2:9" ht="15" x14ac:dyDescent="0.15">
      <c r="B4" s="95" t="s">
        <v>230</v>
      </c>
      <c r="C4" s="95" t="s">
        <v>231</v>
      </c>
      <c r="D4" s="95"/>
      <c r="E4" s="95" t="s">
        <v>232</v>
      </c>
      <c r="F4" s="95" t="s">
        <v>233</v>
      </c>
      <c r="G4" s="44"/>
    </row>
    <row r="5" spans="2:9" ht="13" x14ac:dyDescent="0.15">
      <c r="G5" s="44"/>
    </row>
    <row r="6" spans="2:9" ht="13" x14ac:dyDescent="0.15">
      <c r="B6" s="60" t="s">
        <v>203</v>
      </c>
      <c r="G6" s="44"/>
    </row>
    <row r="7" spans="2:9" ht="13" x14ac:dyDescent="0.15">
      <c r="B7" s="60" t="s">
        <v>234</v>
      </c>
      <c r="G7" s="44"/>
    </row>
    <row r="8" spans="2:9" ht="15.75" customHeight="1" x14ac:dyDescent="0.2">
      <c r="B8" s="91" t="s">
        <v>235</v>
      </c>
      <c r="C8" s="91"/>
      <c r="D8" s="4" t="s">
        <v>236</v>
      </c>
      <c r="E8" s="96"/>
      <c r="F8" s="91"/>
      <c r="G8" s="44"/>
      <c r="I8" s="4"/>
    </row>
    <row r="9" spans="2:9" ht="15.75" customHeight="1" x14ac:dyDescent="0.2">
      <c r="B9" s="91" t="s">
        <v>237</v>
      </c>
      <c r="C9" s="91" t="s">
        <v>238</v>
      </c>
      <c r="D9" s="4" t="s">
        <v>239</v>
      </c>
      <c r="E9" s="96">
        <v>60</v>
      </c>
      <c r="F9" s="91" t="s">
        <v>240</v>
      </c>
      <c r="G9" s="44" t="s">
        <v>241</v>
      </c>
      <c r="H9" s="97">
        <f>E9+E10+E15+E16+E17+E18+E19+E20</f>
        <v>11804</v>
      </c>
      <c r="I9" s="4">
        <v>12</v>
      </c>
    </row>
    <row r="10" spans="2:9" ht="15.75" customHeight="1" x14ac:dyDescent="0.2">
      <c r="B10" s="91" t="s">
        <v>242</v>
      </c>
      <c r="C10" s="91" t="s">
        <v>243</v>
      </c>
      <c r="D10" s="4" t="s">
        <v>239</v>
      </c>
      <c r="E10" s="96">
        <v>24</v>
      </c>
      <c r="F10" s="91" t="s">
        <v>244</v>
      </c>
      <c r="G10" s="44" t="s">
        <v>245</v>
      </c>
      <c r="H10" s="97">
        <f>E11+E12</f>
        <v>54.96</v>
      </c>
    </row>
    <row r="11" spans="2:9" ht="15.75" customHeight="1" x14ac:dyDescent="0.2">
      <c r="B11" s="91" t="s">
        <v>246</v>
      </c>
      <c r="C11" s="91" t="s">
        <v>247</v>
      </c>
      <c r="D11" s="4" t="s">
        <v>248</v>
      </c>
      <c r="E11" s="96">
        <v>45</v>
      </c>
      <c r="F11" s="91" t="s">
        <v>249</v>
      </c>
      <c r="G11" s="44" t="s">
        <v>250</v>
      </c>
      <c r="H11" s="78">
        <f>E24+E25+E26+E27+E28+E29+E30+E31</f>
        <v>383000</v>
      </c>
    </row>
    <row r="12" spans="2:9" ht="15.75" customHeight="1" x14ac:dyDescent="0.2">
      <c r="B12" s="91" t="s">
        <v>251</v>
      </c>
      <c r="C12" s="91" t="s">
        <v>247</v>
      </c>
      <c r="D12" s="4" t="s">
        <v>248</v>
      </c>
      <c r="E12" s="96">
        <v>9.9600000000000009</v>
      </c>
      <c r="F12" s="91" t="s">
        <v>252</v>
      </c>
      <c r="G12" s="44"/>
    </row>
    <row r="13" spans="2:9" ht="13" x14ac:dyDescent="0.15">
      <c r="G13" s="44"/>
    </row>
    <row r="14" spans="2:9" ht="13" x14ac:dyDescent="0.15">
      <c r="B14" s="60" t="s">
        <v>234</v>
      </c>
      <c r="G14" s="44"/>
    </row>
    <row r="15" spans="2:9" ht="15.75" customHeight="1" x14ac:dyDescent="0.2">
      <c r="B15" s="91" t="s">
        <v>253</v>
      </c>
      <c r="C15" s="91" t="s">
        <v>238</v>
      </c>
      <c r="D15" s="4" t="s">
        <v>239</v>
      </c>
      <c r="E15" s="98">
        <v>1500</v>
      </c>
      <c r="F15" s="91" t="s">
        <v>254</v>
      </c>
      <c r="G15" s="44"/>
    </row>
    <row r="16" spans="2:9" ht="15.75" customHeight="1" x14ac:dyDescent="0.2">
      <c r="B16" s="91" t="s">
        <v>255</v>
      </c>
      <c r="C16" s="91" t="s">
        <v>238</v>
      </c>
      <c r="D16" s="4" t="s">
        <v>239</v>
      </c>
      <c r="E16" s="98">
        <v>20</v>
      </c>
      <c r="F16" s="91" t="s">
        <v>256</v>
      </c>
      <c r="G16" s="44"/>
    </row>
    <row r="17" spans="1:7" ht="15.75" customHeight="1" x14ac:dyDescent="0.2">
      <c r="B17" s="91" t="s">
        <v>257</v>
      </c>
      <c r="C17" s="91" t="s">
        <v>238</v>
      </c>
      <c r="D17" s="4" t="s">
        <v>239</v>
      </c>
      <c r="E17" s="98">
        <v>20</v>
      </c>
      <c r="F17" s="91" t="s">
        <v>258</v>
      </c>
      <c r="G17" s="44"/>
    </row>
    <row r="18" spans="1:7" ht="15.75" customHeight="1" x14ac:dyDescent="0.2">
      <c r="B18" s="91" t="s">
        <v>259</v>
      </c>
      <c r="C18" s="91" t="s">
        <v>238</v>
      </c>
      <c r="D18" s="4" t="s">
        <v>239</v>
      </c>
      <c r="E18" s="98">
        <v>30</v>
      </c>
      <c r="F18" s="91" t="s">
        <v>260</v>
      </c>
      <c r="G18" s="44"/>
    </row>
    <row r="19" spans="1:7" ht="15.75" customHeight="1" x14ac:dyDescent="0.2">
      <c r="B19" s="91" t="s">
        <v>261</v>
      </c>
      <c r="C19" s="91" t="s">
        <v>238</v>
      </c>
      <c r="D19" s="4" t="s">
        <v>239</v>
      </c>
      <c r="E19" s="98">
        <v>150</v>
      </c>
      <c r="F19" s="91" t="s">
        <v>262</v>
      </c>
      <c r="G19" s="44"/>
    </row>
    <row r="20" spans="1:7" ht="15.75" customHeight="1" x14ac:dyDescent="0.2">
      <c r="A20" s="4"/>
      <c r="B20" s="91" t="s">
        <v>263</v>
      </c>
      <c r="C20" s="91" t="s">
        <v>238</v>
      </c>
      <c r="D20" s="4" t="s">
        <v>239</v>
      </c>
      <c r="E20" s="98">
        <v>10000</v>
      </c>
      <c r="F20" s="91" t="s">
        <v>258</v>
      </c>
      <c r="G20" s="44"/>
    </row>
    <row r="21" spans="1:7" ht="15.75" customHeight="1" x14ac:dyDescent="0.2">
      <c r="A21" s="4"/>
      <c r="B21" s="91"/>
      <c r="C21" s="91"/>
      <c r="D21" s="4"/>
      <c r="E21" s="98"/>
      <c r="F21" s="91"/>
      <c r="G21" s="44"/>
    </row>
    <row r="22" spans="1:7" ht="13" x14ac:dyDescent="0.15">
      <c r="G22" s="44"/>
    </row>
    <row r="23" spans="1:7" ht="13" x14ac:dyDescent="0.15">
      <c r="B23" s="60" t="s">
        <v>264</v>
      </c>
      <c r="G23" s="44"/>
    </row>
    <row r="24" spans="1:7" ht="15.75" customHeight="1" x14ac:dyDescent="0.2">
      <c r="B24" s="91" t="s">
        <v>265</v>
      </c>
      <c r="C24" s="4" t="s">
        <v>266</v>
      </c>
      <c r="D24" s="4" t="s">
        <v>248</v>
      </c>
      <c r="E24" s="98">
        <v>15000</v>
      </c>
      <c r="F24" s="91" t="s">
        <v>267</v>
      </c>
      <c r="G24" s="44"/>
    </row>
    <row r="25" spans="1:7" ht="15.75" customHeight="1" x14ac:dyDescent="0.2">
      <c r="B25" s="91" t="s">
        <v>268</v>
      </c>
      <c r="C25" s="4" t="s">
        <v>266</v>
      </c>
      <c r="D25" s="4" t="s">
        <v>248</v>
      </c>
      <c r="E25" s="98">
        <v>25000</v>
      </c>
      <c r="F25" s="91" t="s">
        <v>269</v>
      </c>
      <c r="G25" s="44"/>
    </row>
    <row r="26" spans="1:7" ht="15.75" customHeight="1" x14ac:dyDescent="0.2">
      <c r="B26" s="91" t="s">
        <v>270</v>
      </c>
      <c r="C26" s="4" t="s">
        <v>266</v>
      </c>
      <c r="D26" s="4" t="s">
        <v>248</v>
      </c>
      <c r="E26" s="98">
        <v>25000</v>
      </c>
      <c r="F26" s="91" t="s">
        <v>271</v>
      </c>
      <c r="G26" s="44"/>
    </row>
    <row r="27" spans="1:7" ht="15.75" customHeight="1" x14ac:dyDescent="0.2">
      <c r="B27" s="91" t="s">
        <v>272</v>
      </c>
      <c r="C27" s="4" t="s">
        <v>266</v>
      </c>
      <c r="D27" s="4" t="s">
        <v>248</v>
      </c>
      <c r="E27" s="98">
        <v>25000</v>
      </c>
      <c r="F27" s="91" t="s">
        <v>273</v>
      </c>
      <c r="G27" s="44"/>
    </row>
    <row r="28" spans="1:7" ht="15.75" customHeight="1" x14ac:dyDescent="0.2">
      <c r="B28" s="91" t="s">
        <v>274</v>
      </c>
      <c r="C28" s="4" t="s">
        <v>266</v>
      </c>
      <c r="D28" s="4" t="s">
        <v>248</v>
      </c>
      <c r="E28" s="98">
        <v>25000</v>
      </c>
      <c r="F28" s="91" t="s">
        <v>275</v>
      </c>
      <c r="G28" s="44"/>
    </row>
    <row r="29" spans="1:7" ht="15.75" customHeight="1" x14ac:dyDescent="0.2">
      <c r="B29" s="91" t="s">
        <v>276</v>
      </c>
      <c r="C29" s="4" t="s">
        <v>266</v>
      </c>
      <c r="D29" s="4" t="s">
        <v>248</v>
      </c>
      <c r="E29" s="98">
        <v>15000</v>
      </c>
      <c r="F29" s="91" t="s">
        <v>277</v>
      </c>
      <c r="G29" s="44"/>
    </row>
    <row r="30" spans="1:7" ht="15" x14ac:dyDescent="0.2">
      <c r="B30" s="91" t="s">
        <v>278</v>
      </c>
      <c r="C30" s="4" t="s">
        <v>266</v>
      </c>
      <c r="D30" s="4" t="s">
        <v>248</v>
      </c>
      <c r="E30" s="98">
        <v>3000</v>
      </c>
      <c r="F30" s="91" t="s">
        <v>279</v>
      </c>
      <c r="G30" s="44"/>
    </row>
    <row r="31" spans="1:7" ht="15" x14ac:dyDescent="0.2">
      <c r="B31" s="91" t="s">
        <v>280</v>
      </c>
      <c r="C31" s="4" t="s">
        <v>266</v>
      </c>
      <c r="D31" s="4" t="s">
        <v>281</v>
      </c>
      <c r="E31" s="98">
        <v>250000</v>
      </c>
      <c r="F31" s="91" t="s">
        <v>282</v>
      </c>
      <c r="G31" s="44"/>
    </row>
    <row r="32" spans="1:7" ht="15" x14ac:dyDescent="0.2">
      <c r="B32" s="99"/>
      <c r="C32" s="99"/>
      <c r="E32" s="99"/>
      <c r="F32" s="91"/>
      <c r="G32" s="44"/>
    </row>
    <row r="34" spans="2:9" ht="13" x14ac:dyDescent="0.15">
      <c r="B34" s="60" t="s">
        <v>283</v>
      </c>
    </row>
    <row r="35" spans="2:9" ht="13" x14ac:dyDescent="0.15">
      <c r="B35" s="60" t="s">
        <v>234</v>
      </c>
    </row>
    <row r="36" spans="2:9" ht="15" x14ac:dyDescent="0.2">
      <c r="B36" s="91" t="s">
        <v>284</v>
      </c>
      <c r="C36" s="91" t="s">
        <v>238</v>
      </c>
      <c r="D36" s="4" t="s">
        <v>239</v>
      </c>
      <c r="E36" s="98">
        <v>750</v>
      </c>
      <c r="F36" s="91" t="s">
        <v>285</v>
      </c>
      <c r="G36" s="44" t="s">
        <v>286</v>
      </c>
      <c r="H36" s="78">
        <f>E36+E37+E38+E39+E40</f>
        <v>15250</v>
      </c>
      <c r="I36" s="4">
        <v>12</v>
      </c>
    </row>
    <row r="37" spans="2:9" ht="43" x14ac:dyDescent="0.2">
      <c r="B37" s="91" t="s">
        <v>287</v>
      </c>
      <c r="C37" s="91" t="s">
        <v>238</v>
      </c>
      <c r="D37" s="4" t="s">
        <v>239</v>
      </c>
      <c r="E37" s="98">
        <v>3000</v>
      </c>
      <c r="F37" s="91" t="s">
        <v>288</v>
      </c>
      <c r="G37" s="44" t="s">
        <v>289</v>
      </c>
      <c r="H37" s="78">
        <f>E43+E44+E45+E46</f>
        <v>180000</v>
      </c>
    </row>
    <row r="38" spans="2:9" ht="15" x14ac:dyDescent="0.2">
      <c r="B38" s="91" t="s">
        <v>290</v>
      </c>
      <c r="C38" s="91" t="s">
        <v>238</v>
      </c>
      <c r="D38" s="4" t="s">
        <v>239</v>
      </c>
      <c r="E38" s="98">
        <v>10000</v>
      </c>
      <c r="F38" s="91" t="s">
        <v>291</v>
      </c>
      <c r="G38" s="44"/>
    </row>
    <row r="39" spans="2:9" ht="15" x14ac:dyDescent="0.2">
      <c r="B39" s="91" t="s">
        <v>292</v>
      </c>
      <c r="C39" s="91" t="s">
        <v>238</v>
      </c>
      <c r="D39" s="4" t="s">
        <v>239</v>
      </c>
      <c r="E39" s="98">
        <v>1000</v>
      </c>
      <c r="F39" s="91" t="s">
        <v>293</v>
      </c>
      <c r="G39" s="44"/>
    </row>
    <row r="40" spans="2:9" ht="15" x14ac:dyDescent="0.2">
      <c r="B40" s="91" t="s">
        <v>294</v>
      </c>
      <c r="C40" s="91" t="s">
        <v>238</v>
      </c>
      <c r="D40" s="4" t="s">
        <v>239</v>
      </c>
      <c r="E40" s="98">
        <v>500</v>
      </c>
      <c r="F40" s="91" t="s">
        <v>295</v>
      </c>
      <c r="G40" s="44"/>
    </row>
    <row r="41" spans="2:9" ht="13" x14ac:dyDescent="0.15">
      <c r="G41" s="44"/>
    </row>
    <row r="42" spans="2:9" ht="13" x14ac:dyDescent="0.15">
      <c r="B42" s="60" t="s">
        <v>264</v>
      </c>
      <c r="G42" s="44"/>
    </row>
    <row r="43" spans="2:9" ht="15" x14ac:dyDescent="0.2">
      <c r="B43" s="91" t="s">
        <v>296</v>
      </c>
      <c r="C43" s="4" t="s">
        <v>266</v>
      </c>
      <c r="D43" s="4" t="s">
        <v>248</v>
      </c>
      <c r="E43" s="98">
        <v>80000</v>
      </c>
      <c r="F43" s="91" t="s">
        <v>297</v>
      </c>
      <c r="G43" s="44"/>
    </row>
    <row r="44" spans="2:9" ht="15" x14ac:dyDescent="0.2">
      <c r="B44" s="91" t="s">
        <v>298</v>
      </c>
      <c r="C44" s="4" t="s">
        <v>266</v>
      </c>
      <c r="D44" s="4" t="s">
        <v>248</v>
      </c>
      <c r="E44" s="98">
        <v>40000</v>
      </c>
      <c r="F44" s="91" t="s">
        <v>299</v>
      </c>
      <c r="G44" s="44"/>
    </row>
    <row r="45" spans="2:9" ht="15" x14ac:dyDescent="0.2">
      <c r="B45" s="91" t="s">
        <v>300</v>
      </c>
      <c r="C45" s="4" t="s">
        <v>266</v>
      </c>
      <c r="D45" s="4" t="s">
        <v>248</v>
      </c>
      <c r="E45" s="98">
        <v>50000</v>
      </c>
      <c r="F45" s="91" t="s">
        <v>301</v>
      </c>
      <c r="G45" s="44"/>
    </row>
    <row r="46" spans="2:9" ht="15" x14ac:dyDescent="0.2">
      <c r="B46" s="91" t="s">
        <v>302</v>
      </c>
      <c r="C46" s="4" t="s">
        <v>266</v>
      </c>
      <c r="D46" s="4" t="s">
        <v>248</v>
      </c>
      <c r="E46" s="98">
        <v>10000</v>
      </c>
      <c r="F46" s="91" t="s">
        <v>303</v>
      </c>
      <c r="G46" s="44"/>
    </row>
    <row r="47" spans="2:9" ht="13" x14ac:dyDescent="0.15">
      <c r="G47" s="44"/>
    </row>
    <row r="48" spans="2:9" ht="13" x14ac:dyDescent="0.15">
      <c r="G48" s="44"/>
    </row>
    <row r="49" spans="2:9" ht="13" x14ac:dyDescent="0.15">
      <c r="G49" s="44"/>
    </row>
    <row r="50" spans="2:9" ht="13" x14ac:dyDescent="0.15">
      <c r="B50" s="60" t="s">
        <v>304</v>
      </c>
    </row>
    <row r="51" spans="2:9" ht="15" x14ac:dyDescent="0.2">
      <c r="B51" s="60" t="s">
        <v>305</v>
      </c>
      <c r="C51" s="91"/>
      <c r="E51" s="100"/>
      <c r="F51" s="91"/>
      <c r="G51" s="44" t="s">
        <v>306</v>
      </c>
      <c r="H51" s="78">
        <f>E52+E53+E54</f>
        <v>3000</v>
      </c>
      <c r="I51" s="4">
        <v>12</v>
      </c>
    </row>
    <row r="52" spans="2:9" ht="43" x14ac:dyDescent="0.2">
      <c r="B52" s="91" t="s">
        <v>307</v>
      </c>
      <c r="C52" s="91" t="s">
        <v>238</v>
      </c>
      <c r="D52" s="4" t="s">
        <v>239</v>
      </c>
      <c r="E52" s="98">
        <v>1500</v>
      </c>
      <c r="F52" s="91" t="s">
        <v>308</v>
      </c>
      <c r="G52" s="44" t="s">
        <v>309</v>
      </c>
      <c r="H52" s="78">
        <f>E58+E59</f>
        <v>75000</v>
      </c>
    </row>
    <row r="53" spans="2:9" ht="15" x14ac:dyDescent="0.2">
      <c r="B53" s="91" t="s">
        <v>310</v>
      </c>
      <c r="C53" s="91" t="s">
        <v>238</v>
      </c>
      <c r="D53" s="4" t="s">
        <v>239</v>
      </c>
      <c r="E53" s="98">
        <v>500</v>
      </c>
      <c r="F53" s="91" t="s">
        <v>311</v>
      </c>
      <c r="G53" s="44"/>
    </row>
    <row r="54" spans="2:9" ht="15" x14ac:dyDescent="0.2">
      <c r="B54" s="91" t="s">
        <v>312</v>
      </c>
      <c r="C54" s="91" t="s">
        <v>238</v>
      </c>
      <c r="D54" s="4" t="s">
        <v>239</v>
      </c>
      <c r="E54" s="98">
        <v>1000</v>
      </c>
      <c r="F54" s="91" t="s">
        <v>313</v>
      </c>
      <c r="G54" s="44"/>
    </row>
    <row r="55" spans="2:9" ht="13" x14ac:dyDescent="0.15">
      <c r="G55" s="44"/>
    </row>
    <row r="56" spans="2:9" ht="13" x14ac:dyDescent="0.15">
      <c r="G56" s="44"/>
    </row>
    <row r="57" spans="2:9" ht="13" x14ac:dyDescent="0.15">
      <c r="B57" s="60" t="s">
        <v>264</v>
      </c>
      <c r="G57" s="44"/>
    </row>
    <row r="58" spans="2:9" ht="15" x14ac:dyDescent="0.2">
      <c r="B58" s="91" t="s">
        <v>314</v>
      </c>
      <c r="C58" s="4" t="s">
        <v>266</v>
      </c>
      <c r="D58" s="4" t="s">
        <v>248</v>
      </c>
      <c r="E58" s="98">
        <v>15000</v>
      </c>
      <c r="F58" s="91" t="s">
        <v>299</v>
      </c>
      <c r="G58" s="44"/>
    </row>
    <row r="59" spans="2:9" ht="15" x14ac:dyDescent="0.2">
      <c r="B59" s="91" t="s">
        <v>315</v>
      </c>
      <c r="C59" s="4" t="s">
        <v>266</v>
      </c>
      <c r="D59" s="4" t="s">
        <v>248</v>
      </c>
      <c r="E59" s="98">
        <v>60000</v>
      </c>
      <c r="F59" s="91" t="s">
        <v>299</v>
      </c>
      <c r="G59" s="44"/>
    </row>
    <row r="60" spans="2:9" ht="13" x14ac:dyDescent="0.15">
      <c r="G60" s="44"/>
    </row>
    <row r="61" spans="2:9" ht="13" x14ac:dyDescent="0.15">
      <c r="G61" s="44"/>
    </row>
    <row r="62" spans="2:9" ht="13" x14ac:dyDescent="0.15">
      <c r="G62" s="44"/>
    </row>
    <row r="63" spans="2:9" ht="13" x14ac:dyDescent="0.15">
      <c r="G63" s="44"/>
    </row>
    <row r="64" spans="2:9" ht="13" x14ac:dyDescent="0.15">
      <c r="B64" s="60"/>
      <c r="G64" s="44"/>
    </row>
    <row r="65" spans="7:7" ht="13" x14ac:dyDescent="0.15">
      <c r="G65" s="44"/>
    </row>
    <row r="66" spans="7:7" ht="13" x14ac:dyDescent="0.15">
      <c r="G66" s="44"/>
    </row>
    <row r="67" spans="7:7" ht="13" x14ac:dyDescent="0.15">
      <c r="G67" s="44"/>
    </row>
    <row r="68" spans="7:7" ht="13" x14ac:dyDescent="0.15">
      <c r="G68" s="44"/>
    </row>
    <row r="69" spans="7:7" ht="13" x14ac:dyDescent="0.15">
      <c r="G69" s="44"/>
    </row>
    <row r="70" spans="7:7" ht="13" x14ac:dyDescent="0.15">
      <c r="G70" s="44"/>
    </row>
    <row r="71" spans="7:7" ht="13" x14ac:dyDescent="0.15">
      <c r="G71" s="44"/>
    </row>
    <row r="72" spans="7:7" ht="13" x14ac:dyDescent="0.15">
      <c r="G72" s="44"/>
    </row>
    <row r="73" spans="7:7" ht="13" x14ac:dyDescent="0.15">
      <c r="G73" s="44"/>
    </row>
    <row r="74" spans="7:7" ht="13" x14ac:dyDescent="0.15">
      <c r="G74" s="44"/>
    </row>
    <row r="75" spans="7:7" ht="13" x14ac:dyDescent="0.15">
      <c r="G75" s="44"/>
    </row>
    <row r="76" spans="7:7" ht="13" x14ac:dyDescent="0.15">
      <c r="G76" s="44"/>
    </row>
    <row r="77" spans="7:7" ht="13" x14ac:dyDescent="0.15">
      <c r="G77" s="44"/>
    </row>
    <row r="78" spans="7:7" ht="13" x14ac:dyDescent="0.15">
      <c r="G78" s="44"/>
    </row>
    <row r="79" spans="7:7" ht="13" x14ac:dyDescent="0.15">
      <c r="G79" s="44"/>
    </row>
    <row r="80" spans="7:7" ht="13" x14ac:dyDescent="0.15">
      <c r="G80" s="44"/>
    </row>
    <row r="81" spans="7:7" ht="13" x14ac:dyDescent="0.15">
      <c r="G81" s="44"/>
    </row>
    <row r="82" spans="7:7" ht="13" x14ac:dyDescent="0.15">
      <c r="G82" s="44"/>
    </row>
    <row r="83" spans="7:7" ht="13" x14ac:dyDescent="0.15">
      <c r="G83" s="44"/>
    </row>
    <row r="84" spans="7:7" ht="13" x14ac:dyDescent="0.15">
      <c r="G84" s="44"/>
    </row>
    <row r="85" spans="7:7" ht="13" x14ac:dyDescent="0.15">
      <c r="G85" s="44"/>
    </row>
    <row r="86" spans="7:7" ht="13" x14ac:dyDescent="0.15">
      <c r="G86" s="44"/>
    </row>
    <row r="87" spans="7:7" ht="13" x14ac:dyDescent="0.15">
      <c r="G87" s="44"/>
    </row>
    <row r="88" spans="7:7" ht="13" x14ac:dyDescent="0.15">
      <c r="G88" s="44"/>
    </row>
    <row r="89" spans="7:7" ht="13" x14ac:dyDescent="0.15">
      <c r="G89" s="44"/>
    </row>
    <row r="90" spans="7:7" ht="13" x14ac:dyDescent="0.15">
      <c r="G90" s="44"/>
    </row>
    <row r="91" spans="7:7" ht="13" x14ac:dyDescent="0.15">
      <c r="G91" s="44"/>
    </row>
    <row r="92" spans="7:7" ht="13" x14ac:dyDescent="0.15">
      <c r="G92" s="44"/>
    </row>
    <row r="93" spans="7:7" ht="13" x14ac:dyDescent="0.15">
      <c r="G93" s="44"/>
    </row>
    <row r="94" spans="7:7" ht="13" x14ac:dyDescent="0.15">
      <c r="G94" s="44"/>
    </row>
    <row r="95" spans="7:7" ht="13" x14ac:dyDescent="0.15">
      <c r="G95" s="44"/>
    </row>
    <row r="96" spans="7:7" ht="13" x14ac:dyDescent="0.15">
      <c r="G96" s="44"/>
    </row>
    <row r="97" spans="7:7" ht="13" x14ac:dyDescent="0.15">
      <c r="G97" s="44"/>
    </row>
    <row r="98" spans="7:7" ht="13" x14ac:dyDescent="0.15">
      <c r="G98" s="44"/>
    </row>
    <row r="99" spans="7:7" ht="13" x14ac:dyDescent="0.15">
      <c r="G99" s="44"/>
    </row>
    <row r="100" spans="7:7" ht="13" x14ac:dyDescent="0.15">
      <c r="G100" s="44"/>
    </row>
    <row r="101" spans="7:7" ht="13" x14ac:dyDescent="0.15">
      <c r="G101" s="44"/>
    </row>
    <row r="102" spans="7:7" ht="13" x14ac:dyDescent="0.15">
      <c r="G102" s="44"/>
    </row>
    <row r="103" spans="7:7" ht="13" x14ac:dyDescent="0.15">
      <c r="G103" s="44"/>
    </row>
    <row r="104" spans="7:7" ht="13" x14ac:dyDescent="0.15">
      <c r="G104" s="44"/>
    </row>
    <row r="105" spans="7:7" ht="13" x14ac:dyDescent="0.15">
      <c r="G105" s="44"/>
    </row>
    <row r="106" spans="7:7" ht="13" x14ac:dyDescent="0.15">
      <c r="G106" s="44"/>
    </row>
    <row r="107" spans="7:7" ht="13" x14ac:dyDescent="0.15">
      <c r="G107" s="44"/>
    </row>
    <row r="108" spans="7:7" ht="13" x14ac:dyDescent="0.15">
      <c r="G108" s="44"/>
    </row>
    <row r="109" spans="7:7" ht="13" x14ac:dyDescent="0.15">
      <c r="G109" s="44"/>
    </row>
    <row r="110" spans="7:7" ht="13" x14ac:dyDescent="0.15">
      <c r="G110" s="44"/>
    </row>
    <row r="111" spans="7:7" ht="13" x14ac:dyDescent="0.15">
      <c r="G111" s="44"/>
    </row>
    <row r="112" spans="7:7" ht="13" x14ac:dyDescent="0.15">
      <c r="G112" s="44"/>
    </row>
    <row r="113" spans="7:7" ht="13" x14ac:dyDescent="0.15">
      <c r="G113" s="44"/>
    </row>
    <row r="114" spans="7:7" ht="13" x14ac:dyDescent="0.15">
      <c r="G114" s="44"/>
    </row>
    <row r="115" spans="7:7" ht="13" x14ac:dyDescent="0.15">
      <c r="G115" s="44"/>
    </row>
    <row r="116" spans="7:7" ht="13" x14ac:dyDescent="0.15">
      <c r="G116" s="44"/>
    </row>
    <row r="117" spans="7:7" ht="13" x14ac:dyDescent="0.15">
      <c r="G117" s="44"/>
    </row>
    <row r="118" spans="7:7" ht="13" x14ac:dyDescent="0.15">
      <c r="G118" s="44"/>
    </row>
    <row r="119" spans="7:7" ht="13" x14ac:dyDescent="0.15">
      <c r="G119" s="44"/>
    </row>
    <row r="120" spans="7:7" ht="13" x14ac:dyDescent="0.15">
      <c r="G120" s="44"/>
    </row>
    <row r="121" spans="7:7" ht="13" x14ac:dyDescent="0.15">
      <c r="G121" s="44"/>
    </row>
    <row r="122" spans="7:7" ht="13" x14ac:dyDescent="0.15">
      <c r="G122" s="44"/>
    </row>
    <row r="123" spans="7:7" ht="13" x14ac:dyDescent="0.15">
      <c r="G123" s="44"/>
    </row>
    <row r="124" spans="7:7" ht="13" x14ac:dyDescent="0.15">
      <c r="G124" s="44"/>
    </row>
    <row r="125" spans="7:7" ht="13" x14ac:dyDescent="0.15">
      <c r="G125" s="44"/>
    </row>
    <row r="126" spans="7:7" ht="13" x14ac:dyDescent="0.15">
      <c r="G126" s="44"/>
    </row>
    <row r="127" spans="7:7" ht="13" x14ac:dyDescent="0.15">
      <c r="G127" s="44"/>
    </row>
    <row r="128" spans="7:7" ht="13" x14ac:dyDescent="0.15">
      <c r="G128" s="44"/>
    </row>
    <row r="129" spans="7:7" ht="13" x14ac:dyDescent="0.15">
      <c r="G129" s="44"/>
    </row>
    <row r="130" spans="7:7" ht="13" x14ac:dyDescent="0.15">
      <c r="G130" s="44"/>
    </row>
    <row r="131" spans="7:7" ht="13" x14ac:dyDescent="0.15">
      <c r="G131" s="44"/>
    </row>
    <row r="132" spans="7:7" ht="13" x14ac:dyDescent="0.15">
      <c r="G132" s="44"/>
    </row>
    <row r="133" spans="7:7" ht="13" x14ac:dyDescent="0.15">
      <c r="G133" s="44"/>
    </row>
    <row r="134" spans="7:7" ht="13" x14ac:dyDescent="0.15">
      <c r="G134" s="44"/>
    </row>
    <row r="135" spans="7:7" ht="13" x14ac:dyDescent="0.15">
      <c r="G135" s="44"/>
    </row>
    <row r="136" spans="7:7" ht="13" x14ac:dyDescent="0.15">
      <c r="G136" s="44"/>
    </row>
    <row r="137" spans="7:7" ht="13" x14ac:dyDescent="0.15">
      <c r="G137" s="44"/>
    </row>
    <row r="138" spans="7:7" ht="13" x14ac:dyDescent="0.15">
      <c r="G138" s="44"/>
    </row>
    <row r="139" spans="7:7" ht="13" x14ac:dyDescent="0.15">
      <c r="G139" s="44"/>
    </row>
    <row r="140" spans="7:7" ht="13" x14ac:dyDescent="0.15">
      <c r="G140" s="44"/>
    </row>
    <row r="141" spans="7:7" ht="13" x14ac:dyDescent="0.15">
      <c r="G141" s="44"/>
    </row>
    <row r="142" spans="7:7" ht="13" x14ac:dyDescent="0.15">
      <c r="G142" s="44"/>
    </row>
    <row r="143" spans="7:7" ht="13" x14ac:dyDescent="0.15">
      <c r="G143" s="44"/>
    </row>
    <row r="144" spans="7:7" ht="13" x14ac:dyDescent="0.15">
      <c r="G144" s="44"/>
    </row>
    <row r="145" spans="7:7" ht="13" x14ac:dyDescent="0.15">
      <c r="G145" s="44"/>
    </row>
    <row r="146" spans="7:7" ht="13" x14ac:dyDescent="0.15">
      <c r="G146" s="44"/>
    </row>
    <row r="147" spans="7:7" ht="13" x14ac:dyDescent="0.15">
      <c r="G147" s="44"/>
    </row>
    <row r="148" spans="7:7" ht="13" x14ac:dyDescent="0.15">
      <c r="G148" s="44"/>
    </row>
    <row r="149" spans="7:7" ht="13" x14ac:dyDescent="0.15">
      <c r="G149" s="44"/>
    </row>
    <row r="150" spans="7:7" ht="13" x14ac:dyDescent="0.15">
      <c r="G150" s="44"/>
    </row>
    <row r="151" spans="7:7" ht="13" x14ac:dyDescent="0.15">
      <c r="G151" s="44"/>
    </row>
    <row r="152" spans="7:7" ht="13" x14ac:dyDescent="0.15">
      <c r="G152" s="44"/>
    </row>
    <row r="153" spans="7:7" ht="13" x14ac:dyDescent="0.15">
      <c r="G153" s="44"/>
    </row>
    <row r="154" spans="7:7" ht="13" x14ac:dyDescent="0.15">
      <c r="G154" s="44"/>
    </row>
    <row r="155" spans="7:7" ht="13" x14ac:dyDescent="0.15">
      <c r="G155" s="44"/>
    </row>
    <row r="156" spans="7:7" ht="13" x14ac:dyDescent="0.15">
      <c r="G156" s="44"/>
    </row>
    <row r="157" spans="7:7" ht="13" x14ac:dyDescent="0.15">
      <c r="G157" s="44"/>
    </row>
    <row r="158" spans="7:7" ht="13" x14ac:dyDescent="0.15">
      <c r="G158" s="44"/>
    </row>
    <row r="159" spans="7:7" ht="13" x14ac:dyDescent="0.15">
      <c r="G159" s="44"/>
    </row>
    <row r="160" spans="7:7" ht="13" x14ac:dyDescent="0.15">
      <c r="G160" s="44"/>
    </row>
    <row r="161" spans="7:7" ht="13" x14ac:dyDescent="0.15">
      <c r="G161" s="44"/>
    </row>
    <row r="162" spans="7:7" ht="13" x14ac:dyDescent="0.15">
      <c r="G162" s="44"/>
    </row>
    <row r="163" spans="7:7" ht="13" x14ac:dyDescent="0.15">
      <c r="G163" s="44"/>
    </row>
    <row r="164" spans="7:7" ht="13" x14ac:dyDescent="0.15">
      <c r="G164" s="44"/>
    </row>
    <row r="165" spans="7:7" ht="13" x14ac:dyDescent="0.15">
      <c r="G165" s="44"/>
    </row>
    <row r="166" spans="7:7" ht="13" x14ac:dyDescent="0.15">
      <c r="G166" s="44"/>
    </row>
    <row r="167" spans="7:7" ht="13" x14ac:dyDescent="0.15">
      <c r="G167" s="44"/>
    </row>
    <row r="168" spans="7:7" ht="13" x14ac:dyDescent="0.15">
      <c r="G168" s="44"/>
    </row>
    <row r="169" spans="7:7" ht="13" x14ac:dyDescent="0.15">
      <c r="G169" s="44"/>
    </row>
    <row r="170" spans="7:7" ht="13" x14ac:dyDescent="0.15">
      <c r="G170" s="44"/>
    </row>
    <row r="171" spans="7:7" ht="13" x14ac:dyDescent="0.15">
      <c r="G171" s="44"/>
    </row>
    <row r="172" spans="7:7" ht="13" x14ac:dyDescent="0.15">
      <c r="G172" s="44"/>
    </row>
    <row r="173" spans="7:7" ht="13" x14ac:dyDescent="0.15">
      <c r="G173" s="44"/>
    </row>
    <row r="174" spans="7:7" ht="13" x14ac:dyDescent="0.15">
      <c r="G174" s="44"/>
    </row>
    <row r="175" spans="7:7" ht="13" x14ac:dyDescent="0.15">
      <c r="G175" s="44"/>
    </row>
    <row r="176" spans="7:7" ht="13" x14ac:dyDescent="0.15">
      <c r="G176" s="44"/>
    </row>
    <row r="177" spans="7:7" ht="13" x14ac:dyDescent="0.15">
      <c r="G177" s="44"/>
    </row>
    <row r="178" spans="7:7" ht="13" x14ac:dyDescent="0.15">
      <c r="G178" s="44"/>
    </row>
    <row r="179" spans="7:7" ht="13" x14ac:dyDescent="0.15">
      <c r="G179" s="44"/>
    </row>
    <row r="180" spans="7:7" ht="13" x14ac:dyDescent="0.15">
      <c r="G180" s="44"/>
    </row>
    <row r="181" spans="7:7" ht="13" x14ac:dyDescent="0.15">
      <c r="G181" s="44"/>
    </row>
    <row r="182" spans="7:7" ht="13" x14ac:dyDescent="0.15">
      <c r="G182" s="44"/>
    </row>
    <row r="183" spans="7:7" ht="13" x14ac:dyDescent="0.15">
      <c r="G183" s="44"/>
    </row>
    <row r="184" spans="7:7" ht="13" x14ac:dyDescent="0.15">
      <c r="G184" s="44"/>
    </row>
    <row r="185" spans="7:7" ht="13" x14ac:dyDescent="0.15">
      <c r="G185" s="44"/>
    </row>
    <row r="186" spans="7:7" ht="13" x14ac:dyDescent="0.15">
      <c r="G186" s="44"/>
    </row>
    <row r="187" spans="7:7" ht="13" x14ac:dyDescent="0.15">
      <c r="G187" s="44"/>
    </row>
    <row r="188" spans="7:7" ht="13" x14ac:dyDescent="0.15">
      <c r="G188" s="44"/>
    </row>
    <row r="189" spans="7:7" ht="13" x14ac:dyDescent="0.15">
      <c r="G189" s="44"/>
    </row>
    <row r="190" spans="7:7" ht="13" x14ac:dyDescent="0.15">
      <c r="G190" s="44"/>
    </row>
    <row r="191" spans="7:7" ht="13" x14ac:dyDescent="0.15">
      <c r="G191" s="44"/>
    </row>
    <row r="192" spans="7:7" ht="13" x14ac:dyDescent="0.15">
      <c r="G192" s="44"/>
    </row>
    <row r="193" spans="7:7" ht="13" x14ac:dyDescent="0.15">
      <c r="G193" s="44"/>
    </row>
    <row r="194" spans="7:7" ht="13" x14ac:dyDescent="0.15">
      <c r="G194" s="44"/>
    </row>
    <row r="195" spans="7:7" ht="13" x14ac:dyDescent="0.15">
      <c r="G195" s="44"/>
    </row>
    <row r="196" spans="7:7" ht="13" x14ac:dyDescent="0.15">
      <c r="G196" s="44"/>
    </row>
    <row r="197" spans="7:7" ht="13" x14ac:dyDescent="0.15">
      <c r="G197" s="44"/>
    </row>
    <row r="198" spans="7:7" ht="13" x14ac:dyDescent="0.15">
      <c r="G198" s="44"/>
    </row>
    <row r="199" spans="7:7" ht="13" x14ac:dyDescent="0.15">
      <c r="G199" s="44"/>
    </row>
    <row r="200" spans="7:7" ht="13" x14ac:dyDescent="0.15">
      <c r="G200" s="44"/>
    </row>
    <row r="201" spans="7:7" ht="13" x14ac:dyDescent="0.15">
      <c r="G201" s="44"/>
    </row>
    <row r="202" spans="7:7" ht="13" x14ac:dyDescent="0.15">
      <c r="G202" s="44"/>
    </row>
    <row r="203" spans="7:7" ht="13" x14ac:dyDescent="0.15">
      <c r="G203" s="44"/>
    </row>
    <row r="204" spans="7:7" ht="13" x14ac:dyDescent="0.15">
      <c r="G204" s="44"/>
    </row>
    <row r="205" spans="7:7" ht="13" x14ac:dyDescent="0.15">
      <c r="G205" s="44"/>
    </row>
    <row r="206" spans="7:7" ht="13" x14ac:dyDescent="0.15">
      <c r="G206" s="44"/>
    </row>
    <row r="207" spans="7:7" ht="13" x14ac:dyDescent="0.15">
      <c r="G207" s="44"/>
    </row>
    <row r="208" spans="7:7" ht="13" x14ac:dyDescent="0.15">
      <c r="G208" s="44"/>
    </row>
    <row r="209" spans="7:7" ht="13" x14ac:dyDescent="0.15">
      <c r="G209" s="44"/>
    </row>
    <row r="210" spans="7:7" ht="13" x14ac:dyDescent="0.15">
      <c r="G210" s="44"/>
    </row>
    <row r="211" spans="7:7" ht="13" x14ac:dyDescent="0.15">
      <c r="G211" s="44"/>
    </row>
    <row r="212" spans="7:7" ht="13" x14ac:dyDescent="0.15">
      <c r="G212" s="44"/>
    </row>
    <row r="213" spans="7:7" ht="13" x14ac:dyDescent="0.15">
      <c r="G213" s="44"/>
    </row>
    <row r="214" spans="7:7" ht="13" x14ac:dyDescent="0.15">
      <c r="G214" s="44"/>
    </row>
    <row r="215" spans="7:7" ht="13" x14ac:dyDescent="0.15">
      <c r="G215" s="44"/>
    </row>
    <row r="216" spans="7:7" ht="13" x14ac:dyDescent="0.15">
      <c r="G216" s="44"/>
    </row>
    <row r="217" spans="7:7" ht="13" x14ac:dyDescent="0.15">
      <c r="G217" s="44"/>
    </row>
    <row r="218" spans="7:7" ht="13" x14ac:dyDescent="0.15">
      <c r="G218" s="44"/>
    </row>
    <row r="219" spans="7:7" ht="13" x14ac:dyDescent="0.15">
      <c r="G219" s="44"/>
    </row>
    <row r="220" spans="7:7" ht="13" x14ac:dyDescent="0.15">
      <c r="G220" s="44"/>
    </row>
    <row r="221" spans="7:7" ht="13" x14ac:dyDescent="0.15">
      <c r="G221" s="44"/>
    </row>
    <row r="222" spans="7:7" ht="13" x14ac:dyDescent="0.15">
      <c r="G222" s="44"/>
    </row>
    <row r="223" spans="7:7" ht="13" x14ac:dyDescent="0.15">
      <c r="G223" s="44"/>
    </row>
    <row r="224" spans="7:7" ht="13" x14ac:dyDescent="0.15">
      <c r="G224" s="44"/>
    </row>
    <row r="225" spans="7:7" ht="13" x14ac:dyDescent="0.15">
      <c r="G225" s="44"/>
    </row>
    <row r="226" spans="7:7" ht="13" x14ac:dyDescent="0.15">
      <c r="G226" s="44"/>
    </row>
    <row r="227" spans="7:7" ht="13" x14ac:dyDescent="0.15">
      <c r="G227" s="44"/>
    </row>
    <row r="228" spans="7:7" ht="13" x14ac:dyDescent="0.15">
      <c r="G228" s="44"/>
    </row>
    <row r="229" spans="7:7" ht="13" x14ac:dyDescent="0.15">
      <c r="G229" s="44"/>
    </row>
    <row r="230" spans="7:7" ht="13" x14ac:dyDescent="0.15">
      <c r="G230" s="44"/>
    </row>
    <row r="231" spans="7:7" ht="13" x14ac:dyDescent="0.15">
      <c r="G231" s="44"/>
    </row>
    <row r="232" spans="7:7" ht="13" x14ac:dyDescent="0.15">
      <c r="G232" s="44"/>
    </row>
    <row r="233" spans="7:7" ht="13" x14ac:dyDescent="0.15">
      <c r="G233" s="44"/>
    </row>
    <row r="234" spans="7:7" ht="13" x14ac:dyDescent="0.15">
      <c r="G234" s="44"/>
    </row>
    <row r="235" spans="7:7" ht="13" x14ac:dyDescent="0.15">
      <c r="G235" s="44"/>
    </row>
    <row r="236" spans="7:7" ht="13" x14ac:dyDescent="0.15">
      <c r="G236" s="44"/>
    </row>
    <row r="237" spans="7:7" ht="13" x14ac:dyDescent="0.15">
      <c r="G237" s="44"/>
    </row>
    <row r="238" spans="7:7" ht="13" x14ac:dyDescent="0.15">
      <c r="G238" s="44"/>
    </row>
    <row r="239" spans="7:7" ht="13" x14ac:dyDescent="0.15">
      <c r="G239" s="44"/>
    </row>
    <row r="240" spans="7:7" ht="13" x14ac:dyDescent="0.15">
      <c r="G240" s="44"/>
    </row>
    <row r="241" spans="7:7" ht="13" x14ac:dyDescent="0.15">
      <c r="G241" s="44"/>
    </row>
    <row r="242" spans="7:7" ht="13" x14ac:dyDescent="0.15">
      <c r="G242" s="44"/>
    </row>
    <row r="243" spans="7:7" ht="13" x14ac:dyDescent="0.15">
      <c r="G243" s="44"/>
    </row>
    <row r="244" spans="7:7" ht="13" x14ac:dyDescent="0.15">
      <c r="G244" s="44"/>
    </row>
    <row r="245" spans="7:7" ht="13" x14ac:dyDescent="0.15">
      <c r="G245" s="44"/>
    </row>
    <row r="246" spans="7:7" ht="13" x14ac:dyDescent="0.15">
      <c r="G246" s="44"/>
    </row>
    <row r="247" spans="7:7" ht="13" x14ac:dyDescent="0.15">
      <c r="G247" s="44"/>
    </row>
    <row r="248" spans="7:7" ht="13" x14ac:dyDescent="0.15">
      <c r="G248" s="44"/>
    </row>
    <row r="249" spans="7:7" ht="13" x14ac:dyDescent="0.15">
      <c r="G249" s="44"/>
    </row>
    <row r="250" spans="7:7" ht="13" x14ac:dyDescent="0.15">
      <c r="G250" s="44"/>
    </row>
    <row r="251" spans="7:7" ht="13" x14ac:dyDescent="0.15">
      <c r="G251" s="44"/>
    </row>
    <row r="252" spans="7:7" ht="13" x14ac:dyDescent="0.15">
      <c r="G252" s="44"/>
    </row>
    <row r="253" spans="7:7" ht="13" x14ac:dyDescent="0.15">
      <c r="G253" s="44"/>
    </row>
    <row r="254" spans="7:7" ht="13" x14ac:dyDescent="0.15">
      <c r="G254" s="44"/>
    </row>
    <row r="255" spans="7:7" ht="13" x14ac:dyDescent="0.15">
      <c r="G255" s="44"/>
    </row>
    <row r="256" spans="7:7" ht="13" x14ac:dyDescent="0.15">
      <c r="G256" s="44"/>
    </row>
    <row r="257" spans="7:7" ht="13" x14ac:dyDescent="0.15">
      <c r="G257" s="44"/>
    </row>
    <row r="258" spans="7:7" ht="13" x14ac:dyDescent="0.15">
      <c r="G258" s="44"/>
    </row>
    <row r="259" spans="7:7" ht="13" x14ac:dyDescent="0.15">
      <c r="G259" s="44"/>
    </row>
    <row r="260" spans="7:7" ht="13" x14ac:dyDescent="0.15">
      <c r="G260" s="44"/>
    </row>
    <row r="261" spans="7:7" ht="13" x14ac:dyDescent="0.15">
      <c r="G261" s="44"/>
    </row>
    <row r="262" spans="7:7" ht="13" x14ac:dyDescent="0.15">
      <c r="G262" s="44"/>
    </row>
    <row r="263" spans="7:7" ht="13" x14ac:dyDescent="0.15">
      <c r="G263" s="44"/>
    </row>
    <row r="264" spans="7:7" ht="13" x14ac:dyDescent="0.15">
      <c r="G264" s="44"/>
    </row>
    <row r="265" spans="7:7" ht="13" x14ac:dyDescent="0.15">
      <c r="G265" s="44"/>
    </row>
    <row r="266" spans="7:7" ht="13" x14ac:dyDescent="0.15">
      <c r="G266" s="44"/>
    </row>
    <row r="267" spans="7:7" ht="13" x14ac:dyDescent="0.15">
      <c r="G267" s="44"/>
    </row>
    <row r="268" spans="7:7" ht="13" x14ac:dyDescent="0.15">
      <c r="G268" s="44"/>
    </row>
    <row r="269" spans="7:7" ht="13" x14ac:dyDescent="0.15">
      <c r="G269" s="44"/>
    </row>
    <row r="270" spans="7:7" ht="13" x14ac:dyDescent="0.15">
      <c r="G270" s="44"/>
    </row>
    <row r="271" spans="7:7" ht="13" x14ac:dyDescent="0.15">
      <c r="G271" s="44"/>
    </row>
    <row r="272" spans="7:7" ht="13" x14ac:dyDescent="0.15">
      <c r="G272" s="44"/>
    </row>
    <row r="273" spans="7:7" ht="13" x14ac:dyDescent="0.15">
      <c r="G273" s="44"/>
    </row>
    <row r="274" spans="7:7" ht="13" x14ac:dyDescent="0.15">
      <c r="G274" s="44"/>
    </row>
    <row r="275" spans="7:7" ht="13" x14ac:dyDescent="0.15">
      <c r="G275" s="44"/>
    </row>
    <row r="276" spans="7:7" ht="13" x14ac:dyDescent="0.15">
      <c r="G276" s="44"/>
    </row>
    <row r="277" spans="7:7" ht="13" x14ac:dyDescent="0.15">
      <c r="G277" s="44"/>
    </row>
    <row r="278" spans="7:7" ht="13" x14ac:dyDescent="0.15">
      <c r="G278" s="44"/>
    </row>
    <row r="279" spans="7:7" ht="13" x14ac:dyDescent="0.15">
      <c r="G279" s="44"/>
    </row>
    <row r="280" spans="7:7" ht="13" x14ac:dyDescent="0.15">
      <c r="G280" s="44"/>
    </row>
    <row r="281" spans="7:7" ht="13" x14ac:dyDescent="0.15">
      <c r="G281" s="44"/>
    </row>
    <row r="282" spans="7:7" ht="13" x14ac:dyDescent="0.15">
      <c r="G282" s="44"/>
    </row>
    <row r="283" spans="7:7" ht="13" x14ac:dyDescent="0.15">
      <c r="G283" s="44"/>
    </row>
    <row r="284" spans="7:7" ht="13" x14ac:dyDescent="0.15">
      <c r="G284" s="44"/>
    </row>
    <row r="285" spans="7:7" ht="13" x14ac:dyDescent="0.15">
      <c r="G285" s="44"/>
    </row>
    <row r="286" spans="7:7" ht="13" x14ac:dyDescent="0.15">
      <c r="G286" s="44"/>
    </row>
    <row r="287" spans="7:7" ht="13" x14ac:dyDescent="0.15">
      <c r="G287" s="44"/>
    </row>
    <row r="288" spans="7:7" ht="13" x14ac:dyDescent="0.15">
      <c r="G288" s="44"/>
    </row>
    <row r="289" spans="7:7" ht="13" x14ac:dyDescent="0.15">
      <c r="G289" s="44"/>
    </row>
    <row r="290" spans="7:7" ht="13" x14ac:dyDescent="0.15">
      <c r="G290" s="44"/>
    </row>
    <row r="291" spans="7:7" ht="13" x14ac:dyDescent="0.15">
      <c r="G291" s="44"/>
    </row>
    <row r="292" spans="7:7" ht="13" x14ac:dyDescent="0.15">
      <c r="G292" s="44"/>
    </row>
    <row r="293" spans="7:7" ht="13" x14ac:dyDescent="0.15">
      <c r="G293" s="44"/>
    </row>
    <row r="294" spans="7:7" ht="13" x14ac:dyDescent="0.15">
      <c r="G294" s="44"/>
    </row>
    <row r="295" spans="7:7" ht="13" x14ac:dyDescent="0.15">
      <c r="G295" s="44"/>
    </row>
    <row r="296" spans="7:7" ht="13" x14ac:dyDescent="0.15">
      <c r="G296" s="44"/>
    </row>
    <row r="297" spans="7:7" ht="13" x14ac:dyDescent="0.15">
      <c r="G297" s="44"/>
    </row>
    <row r="298" spans="7:7" ht="13" x14ac:dyDescent="0.15">
      <c r="G298" s="44"/>
    </row>
    <row r="299" spans="7:7" ht="13" x14ac:dyDescent="0.15">
      <c r="G299" s="44"/>
    </row>
    <row r="300" spans="7:7" ht="13" x14ac:dyDescent="0.15">
      <c r="G300" s="44"/>
    </row>
    <row r="301" spans="7:7" ht="13" x14ac:dyDescent="0.15">
      <c r="G301" s="44"/>
    </row>
    <row r="302" spans="7:7" ht="13" x14ac:dyDescent="0.15">
      <c r="G302" s="44"/>
    </row>
    <row r="303" spans="7:7" ht="13" x14ac:dyDescent="0.15">
      <c r="G303" s="44"/>
    </row>
    <row r="304" spans="7:7" ht="13" x14ac:dyDescent="0.15">
      <c r="G304" s="44"/>
    </row>
    <row r="305" spans="7:7" ht="13" x14ac:dyDescent="0.15">
      <c r="G305" s="44"/>
    </row>
    <row r="306" spans="7:7" ht="13" x14ac:dyDescent="0.15">
      <c r="G306" s="44"/>
    </row>
    <row r="307" spans="7:7" ht="13" x14ac:dyDescent="0.15">
      <c r="G307" s="44"/>
    </row>
    <row r="308" spans="7:7" ht="13" x14ac:dyDescent="0.15">
      <c r="G308" s="44"/>
    </row>
    <row r="309" spans="7:7" ht="13" x14ac:dyDescent="0.15">
      <c r="G309" s="44"/>
    </row>
    <row r="310" spans="7:7" ht="13" x14ac:dyDescent="0.15">
      <c r="G310" s="44"/>
    </row>
    <row r="311" spans="7:7" ht="13" x14ac:dyDescent="0.15">
      <c r="G311" s="44"/>
    </row>
    <row r="312" spans="7:7" ht="13" x14ac:dyDescent="0.15">
      <c r="G312" s="44"/>
    </row>
    <row r="313" spans="7:7" ht="13" x14ac:dyDescent="0.15">
      <c r="G313" s="44"/>
    </row>
    <row r="314" spans="7:7" ht="13" x14ac:dyDescent="0.15">
      <c r="G314" s="44"/>
    </row>
    <row r="315" spans="7:7" ht="13" x14ac:dyDescent="0.15">
      <c r="G315" s="44"/>
    </row>
    <row r="316" spans="7:7" ht="13" x14ac:dyDescent="0.15">
      <c r="G316" s="44"/>
    </row>
    <row r="317" spans="7:7" ht="13" x14ac:dyDescent="0.15">
      <c r="G317" s="44"/>
    </row>
    <row r="318" spans="7:7" ht="13" x14ac:dyDescent="0.15">
      <c r="G318" s="44"/>
    </row>
    <row r="319" spans="7:7" ht="13" x14ac:dyDescent="0.15">
      <c r="G319" s="44"/>
    </row>
    <row r="320" spans="7:7" ht="13" x14ac:dyDescent="0.15">
      <c r="G320" s="44"/>
    </row>
    <row r="321" spans="7:7" ht="13" x14ac:dyDescent="0.15">
      <c r="G321" s="44"/>
    </row>
    <row r="322" spans="7:7" ht="13" x14ac:dyDescent="0.15">
      <c r="G322" s="44"/>
    </row>
    <row r="323" spans="7:7" ht="13" x14ac:dyDescent="0.15">
      <c r="G323" s="44"/>
    </row>
    <row r="324" spans="7:7" ht="13" x14ac:dyDescent="0.15">
      <c r="G324" s="44"/>
    </row>
    <row r="325" spans="7:7" ht="13" x14ac:dyDescent="0.15">
      <c r="G325" s="44"/>
    </row>
    <row r="326" spans="7:7" ht="13" x14ac:dyDescent="0.15">
      <c r="G326" s="44"/>
    </row>
    <row r="327" spans="7:7" ht="13" x14ac:dyDescent="0.15">
      <c r="G327" s="44"/>
    </row>
    <row r="328" spans="7:7" ht="13" x14ac:dyDescent="0.15">
      <c r="G328" s="44"/>
    </row>
    <row r="329" spans="7:7" ht="13" x14ac:dyDescent="0.15">
      <c r="G329" s="44"/>
    </row>
    <row r="330" spans="7:7" ht="13" x14ac:dyDescent="0.15">
      <c r="G330" s="44"/>
    </row>
    <row r="331" spans="7:7" ht="13" x14ac:dyDescent="0.15">
      <c r="G331" s="44"/>
    </row>
    <row r="332" spans="7:7" ht="13" x14ac:dyDescent="0.15">
      <c r="G332" s="44"/>
    </row>
    <row r="333" spans="7:7" ht="13" x14ac:dyDescent="0.15">
      <c r="G333" s="44"/>
    </row>
    <row r="334" spans="7:7" ht="13" x14ac:dyDescent="0.15">
      <c r="G334" s="44"/>
    </row>
    <row r="335" spans="7:7" ht="13" x14ac:dyDescent="0.15">
      <c r="G335" s="44"/>
    </row>
    <row r="336" spans="7:7" ht="13" x14ac:dyDescent="0.15">
      <c r="G336" s="44"/>
    </row>
    <row r="337" spans="7:7" ht="13" x14ac:dyDescent="0.15">
      <c r="G337" s="44"/>
    </row>
    <row r="338" spans="7:7" ht="13" x14ac:dyDescent="0.15">
      <c r="G338" s="44"/>
    </row>
    <row r="339" spans="7:7" ht="13" x14ac:dyDescent="0.15">
      <c r="G339" s="44"/>
    </row>
    <row r="340" spans="7:7" ht="13" x14ac:dyDescent="0.15">
      <c r="G340" s="44"/>
    </row>
    <row r="341" spans="7:7" ht="13" x14ac:dyDescent="0.15">
      <c r="G341" s="44"/>
    </row>
    <row r="342" spans="7:7" ht="13" x14ac:dyDescent="0.15">
      <c r="G342" s="44"/>
    </row>
    <row r="343" spans="7:7" ht="13" x14ac:dyDescent="0.15">
      <c r="G343" s="44"/>
    </row>
    <row r="344" spans="7:7" ht="13" x14ac:dyDescent="0.15">
      <c r="G344" s="44"/>
    </row>
    <row r="345" spans="7:7" ht="13" x14ac:dyDescent="0.15">
      <c r="G345" s="44"/>
    </row>
    <row r="346" spans="7:7" ht="13" x14ac:dyDescent="0.15">
      <c r="G346" s="44"/>
    </row>
    <row r="347" spans="7:7" ht="13" x14ac:dyDescent="0.15">
      <c r="G347" s="44"/>
    </row>
    <row r="348" spans="7:7" ht="13" x14ac:dyDescent="0.15">
      <c r="G348" s="44"/>
    </row>
    <row r="349" spans="7:7" ht="13" x14ac:dyDescent="0.15">
      <c r="G349" s="44"/>
    </row>
    <row r="350" spans="7:7" ht="13" x14ac:dyDescent="0.15">
      <c r="G350" s="44"/>
    </row>
    <row r="351" spans="7:7" ht="13" x14ac:dyDescent="0.15">
      <c r="G351" s="44"/>
    </row>
    <row r="352" spans="7:7" ht="13" x14ac:dyDescent="0.15">
      <c r="G352" s="44"/>
    </row>
    <row r="353" spans="7:7" ht="13" x14ac:dyDescent="0.15">
      <c r="G353" s="44"/>
    </row>
    <row r="354" spans="7:7" ht="13" x14ac:dyDescent="0.15">
      <c r="G354" s="44"/>
    </row>
    <row r="355" spans="7:7" ht="13" x14ac:dyDescent="0.15">
      <c r="G355" s="44"/>
    </row>
    <row r="356" spans="7:7" ht="13" x14ac:dyDescent="0.15">
      <c r="G356" s="44"/>
    </row>
    <row r="357" spans="7:7" ht="13" x14ac:dyDescent="0.15">
      <c r="G357" s="44"/>
    </row>
    <row r="358" spans="7:7" ht="13" x14ac:dyDescent="0.15">
      <c r="G358" s="44"/>
    </row>
    <row r="359" spans="7:7" ht="13" x14ac:dyDescent="0.15">
      <c r="G359" s="44"/>
    </row>
    <row r="360" spans="7:7" ht="13" x14ac:dyDescent="0.15">
      <c r="G360" s="44"/>
    </row>
    <row r="361" spans="7:7" ht="13" x14ac:dyDescent="0.15">
      <c r="G361" s="44"/>
    </row>
    <row r="362" spans="7:7" ht="13" x14ac:dyDescent="0.15">
      <c r="G362" s="44"/>
    </row>
    <row r="363" spans="7:7" ht="13" x14ac:dyDescent="0.15">
      <c r="G363" s="44"/>
    </row>
    <row r="364" spans="7:7" ht="13" x14ac:dyDescent="0.15">
      <c r="G364" s="44"/>
    </row>
    <row r="365" spans="7:7" ht="13" x14ac:dyDescent="0.15">
      <c r="G365" s="44"/>
    </row>
    <row r="366" spans="7:7" ht="13" x14ac:dyDescent="0.15">
      <c r="G366" s="44"/>
    </row>
    <row r="367" spans="7:7" ht="13" x14ac:dyDescent="0.15">
      <c r="G367" s="44"/>
    </row>
    <row r="368" spans="7:7" ht="13" x14ac:dyDescent="0.15">
      <c r="G368" s="44"/>
    </row>
    <row r="369" spans="7:7" ht="13" x14ac:dyDescent="0.15">
      <c r="G369" s="44"/>
    </row>
    <row r="370" spans="7:7" ht="13" x14ac:dyDescent="0.15">
      <c r="G370" s="44"/>
    </row>
    <row r="371" spans="7:7" ht="13" x14ac:dyDescent="0.15">
      <c r="G371" s="44"/>
    </row>
    <row r="372" spans="7:7" ht="13" x14ac:dyDescent="0.15">
      <c r="G372" s="44"/>
    </row>
    <row r="373" spans="7:7" ht="13" x14ac:dyDescent="0.15">
      <c r="G373" s="44"/>
    </row>
    <row r="374" spans="7:7" ht="13" x14ac:dyDescent="0.15">
      <c r="G374" s="44"/>
    </row>
    <row r="375" spans="7:7" ht="13" x14ac:dyDescent="0.15">
      <c r="G375" s="44"/>
    </row>
    <row r="376" spans="7:7" ht="13" x14ac:dyDescent="0.15">
      <c r="G376" s="44"/>
    </row>
    <row r="377" spans="7:7" ht="13" x14ac:dyDescent="0.15">
      <c r="G377" s="44"/>
    </row>
    <row r="378" spans="7:7" ht="13" x14ac:dyDescent="0.15">
      <c r="G378" s="44"/>
    </row>
    <row r="379" spans="7:7" ht="13" x14ac:dyDescent="0.15">
      <c r="G379" s="44"/>
    </row>
    <row r="380" spans="7:7" ht="13" x14ac:dyDescent="0.15">
      <c r="G380" s="44"/>
    </row>
    <row r="381" spans="7:7" ht="13" x14ac:dyDescent="0.15">
      <c r="G381" s="44"/>
    </row>
    <row r="382" spans="7:7" ht="13" x14ac:dyDescent="0.15">
      <c r="G382" s="44"/>
    </row>
    <row r="383" spans="7:7" ht="13" x14ac:dyDescent="0.15">
      <c r="G383" s="44"/>
    </row>
    <row r="384" spans="7:7" ht="13" x14ac:dyDescent="0.15">
      <c r="G384" s="44"/>
    </row>
    <row r="385" spans="7:7" ht="13" x14ac:dyDescent="0.15">
      <c r="G385" s="44"/>
    </row>
    <row r="386" spans="7:7" ht="13" x14ac:dyDescent="0.15">
      <c r="G386" s="44"/>
    </row>
    <row r="387" spans="7:7" ht="13" x14ac:dyDescent="0.15">
      <c r="G387" s="44"/>
    </row>
    <row r="388" spans="7:7" ht="13" x14ac:dyDescent="0.15">
      <c r="G388" s="44"/>
    </row>
    <row r="389" spans="7:7" ht="13" x14ac:dyDescent="0.15">
      <c r="G389" s="44"/>
    </row>
    <row r="390" spans="7:7" ht="13" x14ac:dyDescent="0.15">
      <c r="G390" s="44"/>
    </row>
    <row r="391" spans="7:7" ht="13" x14ac:dyDescent="0.15">
      <c r="G391" s="44"/>
    </row>
    <row r="392" spans="7:7" ht="13" x14ac:dyDescent="0.15">
      <c r="G392" s="44"/>
    </row>
    <row r="393" spans="7:7" ht="13" x14ac:dyDescent="0.15">
      <c r="G393" s="44"/>
    </row>
    <row r="394" spans="7:7" ht="13" x14ac:dyDescent="0.15">
      <c r="G394" s="44"/>
    </row>
    <row r="395" spans="7:7" ht="13" x14ac:dyDescent="0.15">
      <c r="G395" s="44"/>
    </row>
    <row r="396" spans="7:7" ht="13" x14ac:dyDescent="0.15">
      <c r="G396" s="44"/>
    </row>
    <row r="397" spans="7:7" ht="13" x14ac:dyDescent="0.15">
      <c r="G397" s="44"/>
    </row>
    <row r="398" spans="7:7" ht="13" x14ac:dyDescent="0.15">
      <c r="G398" s="44"/>
    </row>
    <row r="399" spans="7:7" ht="13" x14ac:dyDescent="0.15">
      <c r="G399" s="44"/>
    </row>
    <row r="400" spans="7:7" ht="13" x14ac:dyDescent="0.15">
      <c r="G400" s="44"/>
    </row>
    <row r="401" spans="7:7" ht="13" x14ac:dyDescent="0.15">
      <c r="G401" s="44"/>
    </row>
    <row r="402" spans="7:7" ht="13" x14ac:dyDescent="0.15">
      <c r="G402" s="44"/>
    </row>
    <row r="403" spans="7:7" ht="13" x14ac:dyDescent="0.15">
      <c r="G403" s="44"/>
    </row>
    <row r="404" spans="7:7" ht="13" x14ac:dyDescent="0.15">
      <c r="G404" s="44"/>
    </row>
    <row r="405" spans="7:7" ht="13" x14ac:dyDescent="0.15">
      <c r="G405" s="44"/>
    </row>
    <row r="406" spans="7:7" ht="13" x14ac:dyDescent="0.15">
      <c r="G406" s="44"/>
    </row>
    <row r="407" spans="7:7" ht="13" x14ac:dyDescent="0.15">
      <c r="G407" s="44"/>
    </row>
    <row r="408" spans="7:7" ht="13" x14ac:dyDescent="0.15">
      <c r="G408" s="44"/>
    </row>
    <row r="409" spans="7:7" ht="13" x14ac:dyDescent="0.15">
      <c r="G409" s="44"/>
    </row>
    <row r="410" spans="7:7" ht="13" x14ac:dyDescent="0.15">
      <c r="G410" s="44"/>
    </row>
    <row r="411" spans="7:7" ht="13" x14ac:dyDescent="0.15">
      <c r="G411" s="44"/>
    </row>
    <row r="412" spans="7:7" ht="13" x14ac:dyDescent="0.15">
      <c r="G412" s="44"/>
    </row>
    <row r="413" spans="7:7" ht="13" x14ac:dyDescent="0.15">
      <c r="G413" s="44"/>
    </row>
    <row r="414" spans="7:7" ht="13" x14ac:dyDescent="0.15">
      <c r="G414" s="44"/>
    </row>
    <row r="415" spans="7:7" ht="13" x14ac:dyDescent="0.15">
      <c r="G415" s="44"/>
    </row>
    <row r="416" spans="7:7" ht="13" x14ac:dyDescent="0.15">
      <c r="G416" s="44"/>
    </row>
    <row r="417" spans="7:7" ht="13" x14ac:dyDescent="0.15">
      <c r="G417" s="44"/>
    </row>
    <row r="418" spans="7:7" ht="13" x14ac:dyDescent="0.15">
      <c r="G418" s="44"/>
    </row>
    <row r="419" spans="7:7" ht="13" x14ac:dyDescent="0.15">
      <c r="G419" s="44"/>
    </row>
    <row r="420" spans="7:7" ht="13" x14ac:dyDescent="0.15">
      <c r="G420" s="44"/>
    </row>
    <row r="421" spans="7:7" ht="13" x14ac:dyDescent="0.15">
      <c r="G421" s="44"/>
    </row>
    <row r="422" spans="7:7" ht="13" x14ac:dyDescent="0.15">
      <c r="G422" s="44"/>
    </row>
    <row r="423" spans="7:7" ht="13" x14ac:dyDescent="0.15">
      <c r="G423" s="44"/>
    </row>
    <row r="424" spans="7:7" ht="13" x14ac:dyDescent="0.15">
      <c r="G424" s="44"/>
    </row>
    <row r="425" spans="7:7" ht="13" x14ac:dyDescent="0.15">
      <c r="G425" s="44"/>
    </row>
    <row r="426" spans="7:7" ht="13" x14ac:dyDescent="0.15">
      <c r="G426" s="44"/>
    </row>
    <row r="427" spans="7:7" ht="13" x14ac:dyDescent="0.15">
      <c r="G427" s="44"/>
    </row>
    <row r="428" spans="7:7" ht="13" x14ac:dyDescent="0.15">
      <c r="G428" s="44"/>
    </row>
    <row r="429" spans="7:7" ht="13" x14ac:dyDescent="0.15">
      <c r="G429" s="44"/>
    </row>
    <row r="430" spans="7:7" ht="13" x14ac:dyDescent="0.15">
      <c r="G430" s="44"/>
    </row>
    <row r="431" spans="7:7" ht="13" x14ac:dyDescent="0.15">
      <c r="G431" s="44"/>
    </row>
    <row r="432" spans="7:7" ht="13" x14ac:dyDescent="0.15">
      <c r="G432" s="44"/>
    </row>
    <row r="433" spans="7:7" ht="13" x14ac:dyDescent="0.15">
      <c r="G433" s="44"/>
    </row>
    <row r="434" spans="7:7" ht="13" x14ac:dyDescent="0.15">
      <c r="G434" s="44"/>
    </row>
    <row r="435" spans="7:7" ht="13" x14ac:dyDescent="0.15">
      <c r="G435" s="44"/>
    </row>
    <row r="436" spans="7:7" ht="13" x14ac:dyDescent="0.15">
      <c r="G436" s="44"/>
    </row>
    <row r="437" spans="7:7" ht="13" x14ac:dyDescent="0.15">
      <c r="G437" s="44"/>
    </row>
    <row r="438" spans="7:7" ht="13" x14ac:dyDescent="0.15">
      <c r="G438" s="44"/>
    </row>
    <row r="439" spans="7:7" ht="13" x14ac:dyDescent="0.15">
      <c r="G439" s="44"/>
    </row>
    <row r="440" spans="7:7" ht="13" x14ac:dyDescent="0.15">
      <c r="G440" s="44"/>
    </row>
    <row r="441" spans="7:7" ht="13" x14ac:dyDescent="0.15">
      <c r="G441" s="44"/>
    </row>
    <row r="442" spans="7:7" ht="13" x14ac:dyDescent="0.15">
      <c r="G442" s="44"/>
    </row>
    <row r="443" spans="7:7" ht="13" x14ac:dyDescent="0.15">
      <c r="G443" s="44"/>
    </row>
    <row r="444" spans="7:7" ht="13" x14ac:dyDescent="0.15">
      <c r="G444" s="44"/>
    </row>
    <row r="445" spans="7:7" ht="13" x14ac:dyDescent="0.15">
      <c r="G445" s="44"/>
    </row>
    <row r="446" spans="7:7" ht="13" x14ac:dyDescent="0.15">
      <c r="G446" s="44"/>
    </row>
    <row r="447" spans="7:7" ht="13" x14ac:dyDescent="0.15">
      <c r="G447" s="44"/>
    </row>
    <row r="448" spans="7:7" ht="13" x14ac:dyDescent="0.15">
      <c r="G448" s="44"/>
    </row>
    <row r="449" spans="7:7" ht="13" x14ac:dyDescent="0.15">
      <c r="G449" s="44"/>
    </row>
    <row r="450" spans="7:7" ht="13" x14ac:dyDescent="0.15">
      <c r="G450" s="44"/>
    </row>
    <row r="451" spans="7:7" ht="13" x14ac:dyDescent="0.15">
      <c r="G451" s="44"/>
    </row>
    <row r="452" spans="7:7" ht="13" x14ac:dyDescent="0.15">
      <c r="G452" s="44"/>
    </row>
    <row r="453" spans="7:7" ht="13" x14ac:dyDescent="0.15">
      <c r="G453" s="44"/>
    </row>
    <row r="454" spans="7:7" ht="13" x14ac:dyDescent="0.15">
      <c r="G454" s="44"/>
    </row>
    <row r="455" spans="7:7" ht="13" x14ac:dyDescent="0.15">
      <c r="G455" s="44"/>
    </row>
    <row r="456" spans="7:7" ht="13" x14ac:dyDescent="0.15">
      <c r="G456" s="44"/>
    </row>
    <row r="457" spans="7:7" ht="13" x14ac:dyDescent="0.15">
      <c r="G457" s="44"/>
    </row>
    <row r="458" spans="7:7" ht="13" x14ac:dyDescent="0.15">
      <c r="G458" s="44"/>
    </row>
    <row r="459" spans="7:7" ht="13" x14ac:dyDescent="0.15">
      <c r="G459" s="44"/>
    </row>
    <row r="460" spans="7:7" ht="13" x14ac:dyDescent="0.15">
      <c r="G460" s="44"/>
    </row>
    <row r="461" spans="7:7" ht="13" x14ac:dyDescent="0.15">
      <c r="G461" s="44"/>
    </row>
    <row r="462" spans="7:7" ht="13" x14ac:dyDescent="0.15">
      <c r="G462" s="44"/>
    </row>
    <row r="463" spans="7:7" ht="13" x14ac:dyDescent="0.15">
      <c r="G463" s="44"/>
    </row>
    <row r="464" spans="7:7" ht="13" x14ac:dyDescent="0.15">
      <c r="G464" s="44"/>
    </row>
    <row r="465" spans="7:7" ht="13" x14ac:dyDescent="0.15">
      <c r="G465" s="44"/>
    </row>
    <row r="466" spans="7:7" ht="13" x14ac:dyDescent="0.15">
      <c r="G466" s="44"/>
    </row>
    <row r="467" spans="7:7" ht="13" x14ac:dyDescent="0.15">
      <c r="G467" s="44"/>
    </row>
    <row r="468" spans="7:7" ht="13" x14ac:dyDescent="0.15">
      <c r="G468" s="44"/>
    </row>
    <row r="469" spans="7:7" ht="13" x14ac:dyDescent="0.15">
      <c r="G469" s="44"/>
    </row>
    <row r="470" spans="7:7" ht="13" x14ac:dyDescent="0.15">
      <c r="G470" s="44"/>
    </row>
    <row r="471" spans="7:7" ht="13" x14ac:dyDescent="0.15">
      <c r="G471" s="44"/>
    </row>
    <row r="472" spans="7:7" ht="13" x14ac:dyDescent="0.15">
      <c r="G472" s="44"/>
    </row>
    <row r="473" spans="7:7" ht="13" x14ac:dyDescent="0.15">
      <c r="G473" s="44"/>
    </row>
    <row r="474" spans="7:7" ht="13" x14ac:dyDescent="0.15">
      <c r="G474" s="44"/>
    </row>
    <row r="475" spans="7:7" ht="13" x14ac:dyDescent="0.15">
      <c r="G475" s="44"/>
    </row>
    <row r="476" spans="7:7" ht="13" x14ac:dyDescent="0.15">
      <c r="G476" s="44"/>
    </row>
    <row r="477" spans="7:7" ht="13" x14ac:dyDescent="0.15">
      <c r="G477" s="44"/>
    </row>
    <row r="478" spans="7:7" ht="13" x14ac:dyDescent="0.15">
      <c r="G478" s="44"/>
    </row>
    <row r="479" spans="7:7" ht="13" x14ac:dyDescent="0.15">
      <c r="G479" s="44"/>
    </row>
    <row r="480" spans="7:7" ht="13" x14ac:dyDescent="0.15">
      <c r="G480" s="44"/>
    </row>
    <row r="481" spans="7:7" ht="13" x14ac:dyDescent="0.15">
      <c r="G481" s="44"/>
    </row>
    <row r="482" spans="7:7" ht="13" x14ac:dyDescent="0.15">
      <c r="G482" s="44"/>
    </row>
    <row r="483" spans="7:7" ht="13" x14ac:dyDescent="0.15">
      <c r="G483" s="44"/>
    </row>
    <row r="484" spans="7:7" ht="13" x14ac:dyDescent="0.15">
      <c r="G484" s="44"/>
    </row>
    <row r="485" spans="7:7" ht="13" x14ac:dyDescent="0.15">
      <c r="G485" s="44"/>
    </row>
    <row r="486" spans="7:7" ht="13" x14ac:dyDescent="0.15">
      <c r="G486" s="44"/>
    </row>
    <row r="487" spans="7:7" ht="13" x14ac:dyDescent="0.15">
      <c r="G487" s="44"/>
    </row>
    <row r="488" spans="7:7" ht="13" x14ac:dyDescent="0.15">
      <c r="G488" s="44"/>
    </row>
    <row r="489" spans="7:7" ht="13" x14ac:dyDescent="0.15">
      <c r="G489" s="44"/>
    </row>
    <row r="490" spans="7:7" ht="13" x14ac:dyDescent="0.15">
      <c r="G490" s="44"/>
    </row>
    <row r="491" spans="7:7" ht="13" x14ac:dyDescent="0.15">
      <c r="G491" s="44"/>
    </row>
    <row r="492" spans="7:7" ht="13" x14ac:dyDescent="0.15">
      <c r="G492" s="44"/>
    </row>
    <row r="493" spans="7:7" ht="13" x14ac:dyDescent="0.15">
      <c r="G493" s="44"/>
    </row>
    <row r="494" spans="7:7" ht="13" x14ac:dyDescent="0.15">
      <c r="G494" s="44"/>
    </row>
    <row r="495" spans="7:7" ht="13" x14ac:dyDescent="0.15">
      <c r="G495" s="44"/>
    </row>
    <row r="496" spans="7:7" ht="13" x14ac:dyDescent="0.15">
      <c r="G496" s="44"/>
    </row>
    <row r="497" spans="7:7" ht="13" x14ac:dyDescent="0.15">
      <c r="G497" s="44"/>
    </row>
    <row r="498" spans="7:7" ht="13" x14ac:dyDescent="0.15">
      <c r="G498" s="44"/>
    </row>
    <row r="499" spans="7:7" ht="13" x14ac:dyDescent="0.15">
      <c r="G499" s="44"/>
    </row>
    <row r="500" spans="7:7" ht="13" x14ac:dyDescent="0.15">
      <c r="G500" s="44"/>
    </row>
    <row r="501" spans="7:7" ht="13" x14ac:dyDescent="0.15">
      <c r="G501" s="44"/>
    </row>
    <row r="502" spans="7:7" ht="13" x14ac:dyDescent="0.15">
      <c r="G502" s="44"/>
    </row>
    <row r="503" spans="7:7" ht="13" x14ac:dyDescent="0.15">
      <c r="G503" s="44"/>
    </row>
    <row r="504" spans="7:7" ht="13" x14ac:dyDescent="0.15">
      <c r="G504" s="44"/>
    </row>
    <row r="505" spans="7:7" ht="13" x14ac:dyDescent="0.15">
      <c r="G505" s="44"/>
    </row>
    <row r="506" spans="7:7" ht="13" x14ac:dyDescent="0.15">
      <c r="G506" s="44"/>
    </row>
    <row r="507" spans="7:7" ht="13" x14ac:dyDescent="0.15">
      <c r="G507" s="44"/>
    </row>
    <row r="508" spans="7:7" ht="13" x14ac:dyDescent="0.15">
      <c r="G508" s="44"/>
    </row>
    <row r="509" spans="7:7" ht="13" x14ac:dyDescent="0.15">
      <c r="G509" s="44"/>
    </row>
    <row r="510" spans="7:7" ht="13" x14ac:dyDescent="0.15">
      <c r="G510" s="44"/>
    </row>
    <row r="511" spans="7:7" ht="13" x14ac:dyDescent="0.15">
      <c r="G511" s="44"/>
    </row>
    <row r="512" spans="7:7" ht="13" x14ac:dyDescent="0.15">
      <c r="G512" s="44"/>
    </row>
    <row r="513" spans="7:7" ht="13" x14ac:dyDescent="0.15">
      <c r="G513" s="44"/>
    </row>
    <row r="514" spans="7:7" ht="13" x14ac:dyDescent="0.15">
      <c r="G514" s="44"/>
    </row>
    <row r="515" spans="7:7" ht="13" x14ac:dyDescent="0.15">
      <c r="G515" s="44"/>
    </row>
    <row r="516" spans="7:7" ht="13" x14ac:dyDescent="0.15">
      <c r="G516" s="44"/>
    </row>
    <row r="517" spans="7:7" ht="13" x14ac:dyDescent="0.15">
      <c r="G517" s="44"/>
    </row>
    <row r="518" spans="7:7" ht="13" x14ac:dyDescent="0.15">
      <c r="G518" s="44"/>
    </row>
    <row r="519" spans="7:7" ht="13" x14ac:dyDescent="0.15">
      <c r="G519" s="44"/>
    </row>
    <row r="520" spans="7:7" ht="13" x14ac:dyDescent="0.15">
      <c r="G520" s="44"/>
    </row>
    <row r="521" spans="7:7" ht="13" x14ac:dyDescent="0.15">
      <c r="G521" s="44"/>
    </row>
    <row r="522" spans="7:7" ht="13" x14ac:dyDescent="0.15">
      <c r="G522" s="44"/>
    </row>
    <row r="523" spans="7:7" ht="13" x14ac:dyDescent="0.15">
      <c r="G523" s="44"/>
    </row>
    <row r="524" spans="7:7" ht="13" x14ac:dyDescent="0.15">
      <c r="G524" s="44"/>
    </row>
    <row r="525" spans="7:7" ht="13" x14ac:dyDescent="0.15">
      <c r="G525" s="44"/>
    </row>
    <row r="526" spans="7:7" ht="13" x14ac:dyDescent="0.15">
      <c r="G526" s="44"/>
    </row>
    <row r="527" spans="7:7" ht="13" x14ac:dyDescent="0.15">
      <c r="G527" s="44"/>
    </row>
    <row r="528" spans="7:7" ht="13" x14ac:dyDescent="0.15">
      <c r="G528" s="44"/>
    </row>
    <row r="529" spans="7:7" ht="13" x14ac:dyDescent="0.15">
      <c r="G529" s="44"/>
    </row>
    <row r="530" spans="7:7" ht="13" x14ac:dyDescent="0.15">
      <c r="G530" s="44"/>
    </row>
    <row r="531" spans="7:7" ht="13" x14ac:dyDescent="0.15">
      <c r="G531" s="44"/>
    </row>
    <row r="532" spans="7:7" ht="13" x14ac:dyDescent="0.15">
      <c r="G532" s="44"/>
    </row>
    <row r="533" spans="7:7" ht="13" x14ac:dyDescent="0.15">
      <c r="G533" s="44"/>
    </row>
    <row r="534" spans="7:7" ht="13" x14ac:dyDescent="0.15">
      <c r="G534" s="44"/>
    </row>
    <row r="535" spans="7:7" ht="13" x14ac:dyDescent="0.15">
      <c r="G535" s="44"/>
    </row>
    <row r="536" spans="7:7" ht="13" x14ac:dyDescent="0.15">
      <c r="G536" s="44"/>
    </row>
    <row r="537" spans="7:7" ht="13" x14ac:dyDescent="0.15">
      <c r="G537" s="44"/>
    </row>
    <row r="538" spans="7:7" ht="13" x14ac:dyDescent="0.15">
      <c r="G538" s="44"/>
    </row>
    <row r="539" spans="7:7" ht="13" x14ac:dyDescent="0.15">
      <c r="G539" s="44"/>
    </row>
    <row r="540" spans="7:7" ht="13" x14ac:dyDescent="0.15">
      <c r="G540" s="44"/>
    </row>
    <row r="541" spans="7:7" ht="13" x14ac:dyDescent="0.15">
      <c r="G541" s="44"/>
    </row>
    <row r="542" spans="7:7" ht="13" x14ac:dyDescent="0.15">
      <c r="G542" s="44"/>
    </row>
    <row r="543" spans="7:7" ht="13" x14ac:dyDescent="0.15">
      <c r="G543" s="44"/>
    </row>
    <row r="544" spans="7:7" ht="13" x14ac:dyDescent="0.15">
      <c r="G544" s="44"/>
    </row>
    <row r="545" spans="7:7" ht="13" x14ac:dyDescent="0.15">
      <c r="G545" s="44"/>
    </row>
    <row r="546" spans="7:7" ht="13" x14ac:dyDescent="0.15">
      <c r="G546" s="44"/>
    </row>
    <row r="547" spans="7:7" ht="13" x14ac:dyDescent="0.15">
      <c r="G547" s="44"/>
    </row>
    <row r="548" spans="7:7" ht="13" x14ac:dyDescent="0.15">
      <c r="G548" s="44"/>
    </row>
    <row r="549" spans="7:7" ht="13" x14ac:dyDescent="0.15">
      <c r="G549" s="44"/>
    </row>
    <row r="550" spans="7:7" ht="13" x14ac:dyDescent="0.15">
      <c r="G550" s="44"/>
    </row>
    <row r="551" spans="7:7" ht="13" x14ac:dyDescent="0.15">
      <c r="G551" s="44"/>
    </row>
    <row r="552" spans="7:7" ht="13" x14ac:dyDescent="0.15">
      <c r="G552" s="44"/>
    </row>
    <row r="553" spans="7:7" ht="13" x14ac:dyDescent="0.15">
      <c r="G553" s="44"/>
    </row>
    <row r="554" spans="7:7" ht="13" x14ac:dyDescent="0.15">
      <c r="G554" s="44"/>
    </row>
    <row r="555" spans="7:7" ht="13" x14ac:dyDescent="0.15">
      <c r="G555" s="44"/>
    </row>
    <row r="556" spans="7:7" ht="13" x14ac:dyDescent="0.15">
      <c r="G556" s="44"/>
    </row>
    <row r="557" spans="7:7" ht="13" x14ac:dyDescent="0.15">
      <c r="G557" s="44"/>
    </row>
    <row r="558" spans="7:7" ht="13" x14ac:dyDescent="0.15">
      <c r="G558" s="44"/>
    </row>
    <row r="559" spans="7:7" ht="13" x14ac:dyDescent="0.15">
      <c r="G559" s="44"/>
    </row>
    <row r="560" spans="7:7" ht="13" x14ac:dyDescent="0.15">
      <c r="G560" s="44"/>
    </row>
    <row r="561" spans="7:7" ht="13" x14ac:dyDescent="0.15">
      <c r="G561" s="44"/>
    </row>
    <row r="562" spans="7:7" ht="13" x14ac:dyDescent="0.15">
      <c r="G562" s="44"/>
    </row>
    <row r="563" spans="7:7" ht="13" x14ac:dyDescent="0.15">
      <c r="G563" s="44"/>
    </row>
    <row r="564" spans="7:7" ht="13" x14ac:dyDescent="0.15">
      <c r="G564" s="44"/>
    </row>
    <row r="565" spans="7:7" ht="13" x14ac:dyDescent="0.15">
      <c r="G565" s="44"/>
    </row>
    <row r="566" spans="7:7" ht="13" x14ac:dyDescent="0.15">
      <c r="G566" s="44"/>
    </row>
    <row r="567" spans="7:7" ht="13" x14ac:dyDescent="0.15">
      <c r="G567" s="44"/>
    </row>
    <row r="568" spans="7:7" ht="13" x14ac:dyDescent="0.15">
      <c r="G568" s="44"/>
    </row>
    <row r="569" spans="7:7" ht="13" x14ac:dyDescent="0.15">
      <c r="G569" s="44"/>
    </row>
    <row r="570" spans="7:7" ht="13" x14ac:dyDescent="0.15">
      <c r="G570" s="44"/>
    </row>
    <row r="571" spans="7:7" ht="13" x14ac:dyDescent="0.15">
      <c r="G571" s="44"/>
    </row>
    <row r="572" spans="7:7" ht="13" x14ac:dyDescent="0.15">
      <c r="G572" s="44"/>
    </row>
    <row r="573" spans="7:7" ht="13" x14ac:dyDescent="0.15">
      <c r="G573" s="44"/>
    </row>
    <row r="574" spans="7:7" ht="13" x14ac:dyDescent="0.15">
      <c r="G574" s="44"/>
    </row>
    <row r="575" spans="7:7" ht="13" x14ac:dyDescent="0.15">
      <c r="G575" s="44"/>
    </row>
    <row r="576" spans="7:7" ht="13" x14ac:dyDescent="0.15">
      <c r="G576" s="44"/>
    </row>
    <row r="577" spans="7:7" ht="13" x14ac:dyDescent="0.15">
      <c r="G577" s="44"/>
    </row>
    <row r="578" spans="7:7" ht="13" x14ac:dyDescent="0.15">
      <c r="G578" s="44"/>
    </row>
    <row r="579" spans="7:7" ht="13" x14ac:dyDescent="0.15">
      <c r="G579" s="44"/>
    </row>
    <row r="580" spans="7:7" ht="13" x14ac:dyDescent="0.15">
      <c r="G580" s="44"/>
    </row>
    <row r="581" spans="7:7" ht="13" x14ac:dyDescent="0.15">
      <c r="G581" s="44"/>
    </row>
    <row r="582" spans="7:7" ht="13" x14ac:dyDescent="0.15">
      <c r="G582" s="44"/>
    </row>
    <row r="583" spans="7:7" ht="13" x14ac:dyDescent="0.15">
      <c r="G583" s="44"/>
    </row>
    <row r="584" spans="7:7" ht="13" x14ac:dyDescent="0.15">
      <c r="G584" s="44"/>
    </row>
    <row r="585" spans="7:7" ht="13" x14ac:dyDescent="0.15">
      <c r="G585" s="44"/>
    </row>
    <row r="586" spans="7:7" ht="13" x14ac:dyDescent="0.15">
      <c r="G586" s="44"/>
    </row>
    <row r="587" spans="7:7" ht="13" x14ac:dyDescent="0.15">
      <c r="G587" s="44"/>
    </row>
    <row r="588" spans="7:7" ht="13" x14ac:dyDescent="0.15">
      <c r="G588" s="44"/>
    </row>
    <row r="589" spans="7:7" ht="13" x14ac:dyDescent="0.15">
      <c r="G589" s="44"/>
    </row>
    <row r="590" spans="7:7" ht="13" x14ac:dyDescent="0.15">
      <c r="G590" s="44"/>
    </row>
    <row r="591" spans="7:7" ht="13" x14ac:dyDescent="0.15">
      <c r="G591" s="44"/>
    </row>
    <row r="592" spans="7:7" ht="13" x14ac:dyDescent="0.15">
      <c r="G592" s="44"/>
    </row>
    <row r="593" spans="7:7" ht="13" x14ac:dyDescent="0.15">
      <c r="G593" s="44"/>
    </row>
    <row r="594" spans="7:7" ht="13" x14ac:dyDescent="0.15">
      <c r="G594" s="44"/>
    </row>
    <row r="595" spans="7:7" ht="13" x14ac:dyDescent="0.15">
      <c r="G595" s="44"/>
    </row>
    <row r="596" spans="7:7" ht="13" x14ac:dyDescent="0.15">
      <c r="G596" s="44"/>
    </row>
    <row r="597" spans="7:7" ht="13" x14ac:dyDescent="0.15">
      <c r="G597" s="44"/>
    </row>
    <row r="598" spans="7:7" ht="13" x14ac:dyDescent="0.15">
      <c r="G598" s="44"/>
    </row>
    <row r="599" spans="7:7" ht="13" x14ac:dyDescent="0.15">
      <c r="G599" s="44"/>
    </row>
    <row r="600" spans="7:7" ht="13" x14ac:dyDescent="0.15">
      <c r="G600" s="44"/>
    </row>
    <row r="601" spans="7:7" ht="13" x14ac:dyDescent="0.15">
      <c r="G601" s="44"/>
    </row>
    <row r="602" spans="7:7" ht="13" x14ac:dyDescent="0.15">
      <c r="G602" s="44"/>
    </row>
    <row r="603" spans="7:7" ht="13" x14ac:dyDescent="0.15">
      <c r="G603" s="44"/>
    </row>
    <row r="604" spans="7:7" ht="13" x14ac:dyDescent="0.15">
      <c r="G604" s="44"/>
    </row>
    <row r="605" spans="7:7" ht="13" x14ac:dyDescent="0.15">
      <c r="G605" s="44"/>
    </row>
    <row r="606" spans="7:7" ht="13" x14ac:dyDescent="0.15">
      <c r="G606" s="44"/>
    </row>
    <row r="607" spans="7:7" ht="13" x14ac:dyDescent="0.15">
      <c r="G607" s="44"/>
    </row>
    <row r="608" spans="7:7" ht="13" x14ac:dyDescent="0.15">
      <c r="G608" s="44"/>
    </row>
    <row r="609" spans="7:7" ht="13" x14ac:dyDescent="0.15">
      <c r="G609" s="44"/>
    </row>
    <row r="610" spans="7:7" ht="13" x14ac:dyDescent="0.15">
      <c r="G610" s="44"/>
    </row>
    <row r="611" spans="7:7" ht="13" x14ac:dyDescent="0.15">
      <c r="G611" s="44"/>
    </row>
    <row r="612" spans="7:7" ht="13" x14ac:dyDescent="0.15">
      <c r="G612" s="44"/>
    </row>
    <row r="613" spans="7:7" ht="13" x14ac:dyDescent="0.15">
      <c r="G613" s="44"/>
    </row>
    <row r="614" spans="7:7" ht="13" x14ac:dyDescent="0.15">
      <c r="G614" s="44"/>
    </row>
    <row r="615" spans="7:7" ht="13" x14ac:dyDescent="0.15">
      <c r="G615" s="44"/>
    </row>
    <row r="616" spans="7:7" ht="13" x14ac:dyDescent="0.15">
      <c r="G616" s="44"/>
    </row>
    <row r="617" spans="7:7" ht="13" x14ac:dyDescent="0.15">
      <c r="G617" s="44"/>
    </row>
    <row r="618" spans="7:7" ht="13" x14ac:dyDescent="0.15">
      <c r="G618" s="44"/>
    </row>
    <row r="619" spans="7:7" ht="13" x14ac:dyDescent="0.15">
      <c r="G619" s="44"/>
    </row>
    <row r="620" spans="7:7" ht="13" x14ac:dyDescent="0.15">
      <c r="G620" s="44"/>
    </row>
    <row r="621" spans="7:7" ht="13" x14ac:dyDescent="0.15">
      <c r="G621" s="44"/>
    </row>
    <row r="622" spans="7:7" ht="13" x14ac:dyDescent="0.15">
      <c r="G622" s="44"/>
    </row>
    <row r="623" spans="7:7" ht="13" x14ac:dyDescent="0.15">
      <c r="G623" s="44"/>
    </row>
    <row r="624" spans="7:7" ht="13" x14ac:dyDescent="0.15">
      <c r="G624" s="44"/>
    </row>
    <row r="625" spans="7:7" ht="13" x14ac:dyDescent="0.15">
      <c r="G625" s="44"/>
    </row>
    <row r="626" spans="7:7" ht="13" x14ac:dyDescent="0.15">
      <c r="G626" s="44"/>
    </row>
    <row r="627" spans="7:7" ht="13" x14ac:dyDescent="0.15">
      <c r="G627" s="44"/>
    </row>
    <row r="628" spans="7:7" ht="13" x14ac:dyDescent="0.15">
      <c r="G628" s="44"/>
    </row>
    <row r="629" spans="7:7" ht="13" x14ac:dyDescent="0.15">
      <c r="G629" s="44"/>
    </row>
    <row r="630" spans="7:7" ht="13" x14ac:dyDescent="0.15">
      <c r="G630" s="44"/>
    </row>
    <row r="631" spans="7:7" ht="13" x14ac:dyDescent="0.15">
      <c r="G631" s="44"/>
    </row>
    <row r="632" spans="7:7" ht="13" x14ac:dyDescent="0.15">
      <c r="G632" s="44"/>
    </row>
    <row r="633" spans="7:7" ht="13" x14ac:dyDescent="0.15">
      <c r="G633" s="44"/>
    </row>
    <row r="634" spans="7:7" ht="13" x14ac:dyDescent="0.15">
      <c r="G634" s="44"/>
    </row>
    <row r="635" spans="7:7" ht="13" x14ac:dyDescent="0.15">
      <c r="G635" s="44"/>
    </row>
    <row r="636" spans="7:7" ht="13" x14ac:dyDescent="0.15">
      <c r="G636" s="44"/>
    </row>
    <row r="637" spans="7:7" ht="13" x14ac:dyDescent="0.15">
      <c r="G637" s="44"/>
    </row>
    <row r="638" spans="7:7" ht="13" x14ac:dyDescent="0.15">
      <c r="G638" s="44"/>
    </row>
    <row r="639" spans="7:7" ht="13" x14ac:dyDescent="0.15">
      <c r="G639" s="44"/>
    </row>
    <row r="640" spans="7:7" ht="13" x14ac:dyDescent="0.15">
      <c r="G640" s="44"/>
    </row>
    <row r="641" spans="7:7" ht="13" x14ac:dyDescent="0.15">
      <c r="G641" s="44"/>
    </row>
    <row r="642" spans="7:7" ht="13" x14ac:dyDescent="0.15">
      <c r="G642" s="44"/>
    </row>
    <row r="643" spans="7:7" ht="13" x14ac:dyDescent="0.15">
      <c r="G643" s="44"/>
    </row>
    <row r="644" spans="7:7" ht="13" x14ac:dyDescent="0.15">
      <c r="G644" s="44"/>
    </row>
    <row r="645" spans="7:7" ht="13" x14ac:dyDescent="0.15">
      <c r="G645" s="44"/>
    </row>
    <row r="646" spans="7:7" ht="13" x14ac:dyDescent="0.15">
      <c r="G646" s="44"/>
    </row>
    <row r="647" spans="7:7" ht="13" x14ac:dyDescent="0.15">
      <c r="G647" s="44"/>
    </row>
    <row r="648" spans="7:7" ht="13" x14ac:dyDescent="0.15">
      <c r="G648" s="44"/>
    </row>
    <row r="649" spans="7:7" ht="13" x14ac:dyDescent="0.15">
      <c r="G649" s="44"/>
    </row>
    <row r="650" spans="7:7" ht="13" x14ac:dyDescent="0.15">
      <c r="G650" s="44"/>
    </row>
    <row r="651" spans="7:7" ht="13" x14ac:dyDescent="0.15">
      <c r="G651" s="44"/>
    </row>
    <row r="652" spans="7:7" ht="13" x14ac:dyDescent="0.15">
      <c r="G652" s="44"/>
    </row>
    <row r="653" spans="7:7" ht="13" x14ac:dyDescent="0.15">
      <c r="G653" s="44"/>
    </row>
    <row r="654" spans="7:7" ht="13" x14ac:dyDescent="0.15">
      <c r="G654" s="44"/>
    </row>
    <row r="655" spans="7:7" ht="13" x14ac:dyDescent="0.15">
      <c r="G655" s="44"/>
    </row>
    <row r="656" spans="7:7" ht="13" x14ac:dyDescent="0.15">
      <c r="G656" s="44"/>
    </row>
    <row r="657" spans="7:7" ht="13" x14ac:dyDescent="0.15">
      <c r="G657" s="44"/>
    </row>
    <row r="658" spans="7:7" ht="13" x14ac:dyDescent="0.15">
      <c r="G658" s="44"/>
    </row>
    <row r="659" spans="7:7" ht="13" x14ac:dyDescent="0.15">
      <c r="G659" s="44"/>
    </row>
    <row r="660" spans="7:7" ht="13" x14ac:dyDescent="0.15">
      <c r="G660" s="44"/>
    </row>
    <row r="661" spans="7:7" ht="13" x14ac:dyDescent="0.15">
      <c r="G661" s="44"/>
    </row>
    <row r="662" spans="7:7" ht="13" x14ac:dyDescent="0.15">
      <c r="G662" s="44"/>
    </row>
    <row r="663" spans="7:7" ht="13" x14ac:dyDescent="0.15">
      <c r="G663" s="44"/>
    </row>
    <row r="664" spans="7:7" ht="13" x14ac:dyDescent="0.15">
      <c r="G664" s="44"/>
    </row>
    <row r="665" spans="7:7" ht="13" x14ac:dyDescent="0.15">
      <c r="G665" s="44"/>
    </row>
    <row r="666" spans="7:7" ht="13" x14ac:dyDescent="0.15">
      <c r="G666" s="44"/>
    </row>
    <row r="667" spans="7:7" ht="13" x14ac:dyDescent="0.15">
      <c r="G667" s="44"/>
    </row>
    <row r="668" spans="7:7" ht="13" x14ac:dyDescent="0.15">
      <c r="G668" s="44"/>
    </row>
    <row r="669" spans="7:7" ht="13" x14ac:dyDescent="0.15">
      <c r="G669" s="44"/>
    </row>
    <row r="670" spans="7:7" ht="13" x14ac:dyDescent="0.15">
      <c r="G670" s="44"/>
    </row>
    <row r="671" spans="7:7" ht="13" x14ac:dyDescent="0.15">
      <c r="G671" s="44"/>
    </row>
    <row r="672" spans="7:7" ht="13" x14ac:dyDescent="0.15">
      <c r="G672" s="44"/>
    </row>
    <row r="673" spans="7:7" ht="13" x14ac:dyDescent="0.15">
      <c r="G673" s="44"/>
    </row>
    <row r="674" spans="7:7" ht="13" x14ac:dyDescent="0.15">
      <c r="G674" s="44"/>
    </row>
    <row r="675" spans="7:7" ht="13" x14ac:dyDescent="0.15">
      <c r="G675" s="44"/>
    </row>
    <row r="676" spans="7:7" ht="13" x14ac:dyDescent="0.15">
      <c r="G676" s="44"/>
    </row>
    <row r="677" spans="7:7" ht="13" x14ac:dyDescent="0.15">
      <c r="G677" s="44"/>
    </row>
    <row r="678" spans="7:7" ht="13" x14ac:dyDescent="0.15">
      <c r="G678" s="44"/>
    </row>
    <row r="679" spans="7:7" ht="13" x14ac:dyDescent="0.15">
      <c r="G679" s="44"/>
    </row>
    <row r="680" spans="7:7" ht="13" x14ac:dyDescent="0.15">
      <c r="G680" s="44"/>
    </row>
    <row r="681" spans="7:7" ht="13" x14ac:dyDescent="0.15">
      <c r="G681" s="44"/>
    </row>
    <row r="682" spans="7:7" ht="13" x14ac:dyDescent="0.15">
      <c r="G682" s="44"/>
    </row>
    <row r="683" spans="7:7" ht="13" x14ac:dyDescent="0.15">
      <c r="G683" s="44"/>
    </row>
    <row r="684" spans="7:7" ht="13" x14ac:dyDescent="0.15">
      <c r="G684" s="44"/>
    </row>
    <row r="685" spans="7:7" ht="13" x14ac:dyDescent="0.15">
      <c r="G685" s="44"/>
    </row>
    <row r="686" spans="7:7" ht="13" x14ac:dyDescent="0.15">
      <c r="G686" s="44"/>
    </row>
    <row r="687" spans="7:7" ht="13" x14ac:dyDescent="0.15">
      <c r="G687" s="44"/>
    </row>
    <row r="688" spans="7:7" ht="13" x14ac:dyDescent="0.15">
      <c r="G688" s="44"/>
    </row>
    <row r="689" spans="7:7" ht="13" x14ac:dyDescent="0.15">
      <c r="G689" s="44"/>
    </row>
    <row r="690" spans="7:7" ht="13" x14ac:dyDescent="0.15">
      <c r="G690" s="44"/>
    </row>
    <row r="691" spans="7:7" ht="13" x14ac:dyDescent="0.15">
      <c r="G691" s="44"/>
    </row>
    <row r="692" spans="7:7" ht="13" x14ac:dyDescent="0.15">
      <c r="G692" s="44"/>
    </row>
    <row r="693" spans="7:7" ht="13" x14ac:dyDescent="0.15">
      <c r="G693" s="44"/>
    </row>
    <row r="694" spans="7:7" ht="13" x14ac:dyDescent="0.15">
      <c r="G694" s="44"/>
    </row>
    <row r="695" spans="7:7" ht="13" x14ac:dyDescent="0.15">
      <c r="G695" s="44"/>
    </row>
    <row r="696" spans="7:7" ht="13" x14ac:dyDescent="0.15">
      <c r="G696" s="44"/>
    </row>
    <row r="697" spans="7:7" ht="13" x14ac:dyDescent="0.15">
      <c r="G697" s="44"/>
    </row>
    <row r="698" spans="7:7" ht="13" x14ac:dyDescent="0.15">
      <c r="G698" s="44"/>
    </row>
    <row r="699" spans="7:7" ht="13" x14ac:dyDescent="0.15">
      <c r="G699" s="44"/>
    </row>
    <row r="700" spans="7:7" ht="13" x14ac:dyDescent="0.15">
      <c r="G700" s="44"/>
    </row>
    <row r="701" spans="7:7" ht="13" x14ac:dyDescent="0.15">
      <c r="G701" s="44"/>
    </row>
    <row r="702" spans="7:7" ht="13" x14ac:dyDescent="0.15">
      <c r="G702" s="44"/>
    </row>
    <row r="703" spans="7:7" ht="13" x14ac:dyDescent="0.15">
      <c r="G703" s="44"/>
    </row>
    <row r="704" spans="7:7" ht="13" x14ac:dyDescent="0.15">
      <c r="G704" s="44"/>
    </row>
    <row r="705" spans="7:7" ht="13" x14ac:dyDescent="0.15">
      <c r="G705" s="44"/>
    </row>
    <row r="706" spans="7:7" ht="13" x14ac:dyDescent="0.15">
      <c r="G706" s="44"/>
    </row>
    <row r="707" spans="7:7" ht="13" x14ac:dyDescent="0.15">
      <c r="G707" s="44"/>
    </row>
    <row r="708" spans="7:7" ht="13" x14ac:dyDescent="0.15">
      <c r="G708" s="44"/>
    </row>
    <row r="709" spans="7:7" ht="13" x14ac:dyDescent="0.15">
      <c r="G709" s="44"/>
    </row>
    <row r="710" spans="7:7" ht="13" x14ac:dyDescent="0.15">
      <c r="G710" s="44"/>
    </row>
    <row r="711" spans="7:7" ht="13" x14ac:dyDescent="0.15">
      <c r="G711" s="44"/>
    </row>
    <row r="712" spans="7:7" ht="13" x14ac:dyDescent="0.15">
      <c r="G712" s="44"/>
    </row>
    <row r="713" spans="7:7" ht="13" x14ac:dyDescent="0.15">
      <c r="G713" s="44"/>
    </row>
    <row r="714" spans="7:7" ht="13" x14ac:dyDescent="0.15">
      <c r="G714" s="44"/>
    </row>
    <row r="715" spans="7:7" ht="13" x14ac:dyDescent="0.15">
      <c r="G715" s="44"/>
    </row>
    <row r="716" spans="7:7" ht="13" x14ac:dyDescent="0.15">
      <c r="G716" s="44"/>
    </row>
    <row r="717" spans="7:7" ht="13" x14ac:dyDescent="0.15">
      <c r="G717" s="44"/>
    </row>
    <row r="718" spans="7:7" ht="13" x14ac:dyDescent="0.15">
      <c r="G718" s="44"/>
    </row>
    <row r="719" spans="7:7" ht="13" x14ac:dyDescent="0.15">
      <c r="G719" s="44"/>
    </row>
    <row r="720" spans="7:7" ht="13" x14ac:dyDescent="0.15">
      <c r="G720" s="44"/>
    </row>
    <row r="721" spans="7:7" ht="13" x14ac:dyDescent="0.15">
      <c r="G721" s="44"/>
    </row>
    <row r="722" spans="7:7" ht="13" x14ac:dyDescent="0.15">
      <c r="G722" s="44"/>
    </row>
    <row r="723" spans="7:7" ht="13" x14ac:dyDescent="0.15">
      <c r="G723" s="44"/>
    </row>
    <row r="724" spans="7:7" ht="13" x14ac:dyDescent="0.15">
      <c r="G724" s="44"/>
    </row>
    <row r="725" spans="7:7" ht="13" x14ac:dyDescent="0.15">
      <c r="G725" s="44"/>
    </row>
    <row r="726" spans="7:7" ht="13" x14ac:dyDescent="0.15">
      <c r="G726" s="44"/>
    </row>
    <row r="727" spans="7:7" ht="13" x14ac:dyDescent="0.15">
      <c r="G727" s="44"/>
    </row>
    <row r="728" spans="7:7" ht="13" x14ac:dyDescent="0.15">
      <c r="G728" s="44"/>
    </row>
    <row r="729" spans="7:7" ht="13" x14ac:dyDescent="0.15">
      <c r="G729" s="44"/>
    </row>
    <row r="730" spans="7:7" ht="13" x14ac:dyDescent="0.15">
      <c r="G730" s="44"/>
    </row>
    <row r="731" spans="7:7" ht="13" x14ac:dyDescent="0.15">
      <c r="G731" s="44"/>
    </row>
    <row r="732" spans="7:7" ht="13" x14ac:dyDescent="0.15">
      <c r="G732" s="44"/>
    </row>
    <row r="733" spans="7:7" ht="13" x14ac:dyDescent="0.15">
      <c r="G733" s="44"/>
    </row>
    <row r="734" spans="7:7" ht="13" x14ac:dyDescent="0.15">
      <c r="G734" s="44"/>
    </row>
    <row r="735" spans="7:7" ht="13" x14ac:dyDescent="0.15">
      <c r="G735" s="44"/>
    </row>
    <row r="736" spans="7:7" ht="13" x14ac:dyDescent="0.15">
      <c r="G736" s="44"/>
    </row>
    <row r="737" spans="7:7" ht="13" x14ac:dyDescent="0.15">
      <c r="G737" s="44"/>
    </row>
    <row r="738" spans="7:7" ht="13" x14ac:dyDescent="0.15">
      <c r="G738" s="44"/>
    </row>
    <row r="739" spans="7:7" ht="13" x14ac:dyDescent="0.15">
      <c r="G739" s="44"/>
    </row>
    <row r="740" spans="7:7" ht="13" x14ac:dyDescent="0.15">
      <c r="G740" s="44"/>
    </row>
    <row r="741" spans="7:7" ht="13" x14ac:dyDescent="0.15">
      <c r="G741" s="44"/>
    </row>
    <row r="742" spans="7:7" ht="13" x14ac:dyDescent="0.15">
      <c r="G742" s="44"/>
    </row>
    <row r="743" spans="7:7" ht="13" x14ac:dyDescent="0.15">
      <c r="G743" s="44"/>
    </row>
    <row r="744" spans="7:7" ht="13" x14ac:dyDescent="0.15">
      <c r="G744" s="44"/>
    </row>
    <row r="745" spans="7:7" ht="13" x14ac:dyDescent="0.15">
      <c r="G745" s="44"/>
    </row>
    <row r="746" spans="7:7" ht="13" x14ac:dyDescent="0.15">
      <c r="G746" s="44"/>
    </row>
    <row r="747" spans="7:7" ht="13" x14ac:dyDescent="0.15">
      <c r="G747" s="44"/>
    </row>
    <row r="748" spans="7:7" ht="13" x14ac:dyDescent="0.15">
      <c r="G748" s="44"/>
    </row>
    <row r="749" spans="7:7" ht="13" x14ac:dyDescent="0.15">
      <c r="G749" s="44"/>
    </row>
    <row r="750" spans="7:7" ht="13" x14ac:dyDescent="0.15">
      <c r="G750" s="44"/>
    </row>
    <row r="751" spans="7:7" ht="13" x14ac:dyDescent="0.15">
      <c r="G751" s="44"/>
    </row>
    <row r="752" spans="7:7" ht="13" x14ac:dyDescent="0.15">
      <c r="G752" s="44"/>
    </row>
    <row r="753" spans="7:7" ht="13" x14ac:dyDescent="0.15">
      <c r="G753" s="44"/>
    </row>
    <row r="754" spans="7:7" ht="13" x14ac:dyDescent="0.15">
      <c r="G754" s="44"/>
    </row>
    <row r="755" spans="7:7" ht="13" x14ac:dyDescent="0.15">
      <c r="G755" s="44"/>
    </row>
    <row r="756" spans="7:7" ht="13" x14ac:dyDescent="0.15">
      <c r="G756" s="44"/>
    </row>
    <row r="757" spans="7:7" ht="13" x14ac:dyDescent="0.15">
      <c r="G757" s="44"/>
    </row>
    <row r="758" spans="7:7" ht="13" x14ac:dyDescent="0.15">
      <c r="G758" s="44"/>
    </row>
    <row r="759" spans="7:7" ht="13" x14ac:dyDescent="0.15">
      <c r="G759" s="44"/>
    </row>
    <row r="760" spans="7:7" ht="13" x14ac:dyDescent="0.15">
      <c r="G760" s="44"/>
    </row>
    <row r="761" spans="7:7" ht="13" x14ac:dyDescent="0.15">
      <c r="G761" s="44"/>
    </row>
    <row r="762" spans="7:7" ht="13" x14ac:dyDescent="0.15">
      <c r="G762" s="44"/>
    </row>
    <row r="763" spans="7:7" ht="13" x14ac:dyDescent="0.15">
      <c r="G763" s="44"/>
    </row>
    <row r="764" spans="7:7" ht="13" x14ac:dyDescent="0.15">
      <c r="G764" s="44"/>
    </row>
    <row r="765" spans="7:7" ht="13" x14ac:dyDescent="0.15">
      <c r="G765" s="44"/>
    </row>
    <row r="766" spans="7:7" ht="13" x14ac:dyDescent="0.15">
      <c r="G766" s="44"/>
    </row>
    <row r="767" spans="7:7" ht="13" x14ac:dyDescent="0.15">
      <c r="G767" s="44"/>
    </row>
    <row r="768" spans="7:7" ht="13" x14ac:dyDescent="0.15">
      <c r="G768" s="44"/>
    </row>
    <row r="769" spans="7:7" ht="13" x14ac:dyDescent="0.15">
      <c r="G769" s="44"/>
    </row>
    <row r="770" spans="7:7" ht="13" x14ac:dyDescent="0.15">
      <c r="G770" s="44"/>
    </row>
    <row r="771" spans="7:7" ht="13" x14ac:dyDescent="0.15">
      <c r="G771" s="44"/>
    </row>
    <row r="772" spans="7:7" ht="13" x14ac:dyDescent="0.15">
      <c r="G772" s="44"/>
    </row>
    <row r="773" spans="7:7" ht="13" x14ac:dyDescent="0.15">
      <c r="G773" s="44"/>
    </row>
    <row r="774" spans="7:7" ht="13" x14ac:dyDescent="0.15">
      <c r="G774" s="44"/>
    </row>
    <row r="775" spans="7:7" ht="13" x14ac:dyDescent="0.15">
      <c r="G775" s="44"/>
    </row>
    <row r="776" spans="7:7" ht="13" x14ac:dyDescent="0.15">
      <c r="G776" s="44"/>
    </row>
    <row r="777" spans="7:7" ht="13" x14ac:dyDescent="0.15">
      <c r="G777" s="44"/>
    </row>
    <row r="778" spans="7:7" ht="13" x14ac:dyDescent="0.15">
      <c r="G778" s="44"/>
    </row>
    <row r="779" spans="7:7" ht="13" x14ac:dyDescent="0.15">
      <c r="G779" s="44"/>
    </row>
    <row r="780" spans="7:7" ht="13" x14ac:dyDescent="0.15">
      <c r="G780" s="44"/>
    </row>
    <row r="781" spans="7:7" ht="13" x14ac:dyDescent="0.15">
      <c r="G781" s="44"/>
    </row>
    <row r="782" spans="7:7" ht="13" x14ac:dyDescent="0.15">
      <c r="G782" s="44"/>
    </row>
    <row r="783" spans="7:7" ht="13" x14ac:dyDescent="0.15">
      <c r="G783" s="44"/>
    </row>
    <row r="784" spans="7:7" ht="13" x14ac:dyDescent="0.15">
      <c r="G784" s="44"/>
    </row>
    <row r="785" spans="7:7" ht="13" x14ac:dyDescent="0.15">
      <c r="G785" s="44"/>
    </row>
    <row r="786" spans="7:7" ht="13" x14ac:dyDescent="0.15">
      <c r="G786" s="44"/>
    </row>
    <row r="787" spans="7:7" ht="13" x14ac:dyDescent="0.15">
      <c r="G787" s="44"/>
    </row>
    <row r="788" spans="7:7" ht="13" x14ac:dyDescent="0.15">
      <c r="G788" s="44"/>
    </row>
    <row r="789" spans="7:7" ht="13" x14ac:dyDescent="0.15">
      <c r="G789" s="44"/>
    </row>
    <row r="790" spans="7:7" ht="13" x14ac:dyDescent="0.15">
      <c r="G790" s="44"/>
    </row>
    <row r="791" spans="7:7" ht="13" x14ac:dyDescent="0.15">
      <c r="G791" s="44"/>
    </row>
    <row r="792" spans="7:7" ht="13" x14ac:dyDescent="0.15">
      <c r="G792" s="44"/>
    </row>
    <row r="793" spans="7:7" ht="13" x14ac:dyDescent="0.15">
      <c r="G793" s="44"/>
    </row>
    <row r="794" spans="7:7" ht="13" x14ac:dyDescent="0.15">
      <c r="G794" s="44"/>
    </row>
    <row r="795" spans="7:7" ht="13" x14ac:dyDescent="0.15">
      <c r="G795" s="44"/>
    </row>
    <row r="796" spans="7:7" ht="13" x14ac:dyDescent="0.15">
      <c r="G796" s="44"/>
    </row>
    <row r="797" spans="7:7" ht="13" x14ac:dyDescent="0.15">
      <c r="G797" s="44"/>
    </row>
    <row r="798" spans="7:7" ht="13" x14ac:dyDescent="0.15">
      <c r="G798" s="44"/>
    </row>
    <row r="799" spans="7:7" ht="13" x14ac:dyDescent="0.15">
      <c r="G799" s="44"/>
    </row>
    <row r="800" spans="7:7" ht="13" x14ac:dyDescent="0.15">
      <c r="G800" s="44"/>
    </row>
    <row r="801" spans="7:7" ht="13" x14ac:dyDescent="0.15">
      <c r="G801" s="44"/>
    </row>
    <row r="802" spans="7:7" ht="13" x14ac:dyDescent="0.15">
      <c r="G802" s="44"/>
    </row>
    <row r="803" spans="7:7" ht="13" x14ac:dyDescent="0.15">
      <c r="G803" s="44"/>
    </row>
    <row r="804" spans="7:7" ht="13" x14ac:dyDescent="0.15">
      <c r="G804" s="44"/>
    </row>
    <row r="805" spans="7:7" ht="13" x14ac:dyDescent="0.15">
      <c r="G805" s="44"/>
    </row>
    <row r="806" spans="7:7" ht="13" x14ac:dyDescent="0.15">
      <c r="G806" s="44"/>
    </row>
    <row r="807" spans="7:7" ht="13" x14ac:dyDescent="0.15">
      <c r="G807" s="44"/>
    </row>
    <row r="808" spans="7:7" ht="13" x14ac:dyDescent="0.15">
      <c r="G808" s="44"/>
    </row>
    <row r="809" spans="7:7" ht="13" x14ac:dyDescent="0.15">
      <c r="G809" s="44"/>
    </row>
    <row r="810" spans="7:7" ht="13" x14ac:dyDescent="0.15">
      <c r="G810" s="44"/>
    </row>
    <row r="811" spans="7:7" ht="13" x14ac:dyDescent="0.15">
      <c r="G811" s="44"/>
    </row>
    <row r="812" spans="7:7" ht="13" x14ac:dyDescent="0.15">
      <c r="G812" s="44"/>
    </row>
    <row r="813" spans="7:7" ht="13" x14ac:dyDescent="0.15">
      <c r="G813" s="44"/>
    </row>
    <row r="814" spans="7:7" ht="13" x14ac:dyDescent="0.15">
      <c r="G814" s="44"/>
    </row>
    <row r="815" spans="7:7" ht="13" x14ac:dyDescent="0.15">
      <c r="G815" s="44"/>
    </row>
    <row r="816" spans="7:7" ht="13" x14ac:dyDescent="0.15">
      <c r="G816" s="44"/>
    </row>
    <row r="817" spans="7:7" ht="13" x14ac:dyDescent="0.15">
      <c r="G817" s="44"/>
    </row>
    <row r="818" spans="7:7" ht="13" x14ac:dyDescent="0.15">
      <c r="G818" s="44"/>
    </row>
    <row r="819" spans="7:7" ht="13" x14ac:dyDescent="0.15">
      <c r="G819" s="44"/>
    </row>
    <row r="820" spans="7:7" ht="13" x14ac:dyDescent="0.15">
      <c r="G820" s="44"/>
    </row>
    <row r="821" spans="7:7" ht="13" x14ac:dyDescent="0.15">
      <c r="G821" s="44"/>
    </row>
    <row r="822" spans="7:7" ht="13" x14ac:dyDescent="0.15">
      <c r="G822" s="44"/>
    </row>
    <row r="823" spans="7:7" ht="13" x14ac:dyDescent="0.15">
      <c r="G823" s="44"/>
    </row>
    <row r="824" spans="7:7" ht="13" x14ac:dyDescent="0.15">
      <c r="G824" s="44"/>
    </row>
    <row r="825" spans="7:7" ht="13" x14ac:dyDescent="0.15">
      <c r="G825" s="44"/>
    </row>
    <row r="826" spans="7:7" ht="13" x14ac:dyDescent="0.15">
      <c r="G826" s="44"/>
    </row>
    <row r="827" spans="7:7" ht="13" x14ac:dyDescent="0.15">
      <c r="G827" s="44"/>
    </row>
    <row r="828" spans="7:7" ht="13" x14ac:dyDescent="0.15">
      <c r="G828" s="44"/>
    </row>
    <row r="829" spans="7:7" ht="13" x14ac:dyDescent="0.15">
      <c r="G829" s="44"/>
    </row>
    <row r="830" spans="7:7" ht="13" x14ac:dyDescent="0.15">
      <c r="G830" s="44"/>
    </row>
    <row r="831" spans="7:7" ht="13" x14ac:dyDescent="0.15">
      <c r="G831" s="44"/>
    </row>
    <row r="832" spans="7:7" ht="13" x14ac:dyDescent="0.15">
      <c r="G832" s="44"/>
    </row>
    <row r="833" spans="7:7" ht="13" x14ac:dyDescent="0.15">
      <c r="G833" s="44"/>
    </row>
    <row r="834" spans="7:7" ht="13" x14ac:dyDescent="0.15">
      <c r="G834" s="44"/>
    </row>
    <row r="835" spans="7:7" ht="13" x14ac:dyDescent="0.15">
      <c r="G835" s="44"/>
    </row>
    <row r="836" spans="7:7" ht="13" x14ac:dyDescent="0.15">
      <c r="G836" s="44"/>
    </row>
    <row r="837" spans="7:7" ht="13" x14ac:dyDescent="0.15">
      <c r="G837" s="44"/>
    </row>
    <row r="838" spans="7:7" ht="13" x14ac:dyDescent="0.15">
      <c r="G838" s="44"/>
    </row>
    <row r="839" spans="7:7" ht="13" x14ac:dyDescent="0.15">
      <c r="G839" s="44"/>
    </row>
    <row r="840" spans="7:7" ht="13" x14ac:dyDescent="0.15">
      <c r="G840" s="44"/>
    </row>
    <row r="841" spans="7:7" ht="13" x14ac:dyDescent="0.15">
      <c r="G841" s="44"/>
    </row>
    <row r="842" spans="7:7" ht="13" x14ac:dyDescent="0.15">
      <c r="G842" s="44"/>
    </row>
    <row r="843" spans="7:7" ht="13" x14ac:dyDescent="0.15">
      <c r="G843" s="44"/>
    </row>
    <row r="844" spans="7:7" ht="13" x14ac:dyDescent="0.15">
      <c r="G844" s="44"/>
    </row>
    <row r="845" spans="7:7" ht="13" x14ac:dyDescent="0.15">
      <c r="G845" s="44"/>
    </row>
    <row r="846" spans="7:7" ht="13" x14ac:dyDescent="0.15">
      <c r="G846" s="44"/>
    </row>
    <row r="847" spans="7:7" ht="13" x14ac:dyDescent="0.15">
      <c r="G847" s="44"/>
    </row>
    <row r="848" spans="7:7" ht="13" x14ac:dyDescent="0.15">
      <c r="G848" s="44"/>
    </row>
    <row r="849" spans="7:7" ht="13" x14ac:dyDescent="0.15">
      <c r="G849" s="44"/>
    </row>
    <row r="850" spans="7:7" ht="13" x14ac:dyDescent="0.15">
      <c r="G850" s="44"/>
    </row>
    <row r="851" spans="7:7" ht="13" x14ac:dyDescent="0.15">
      <c r="G851" s="44"/>
    </row>
    <row r="852" spans="7:7" ht="13" x14ac:dyDescent="0.15">
      <c r="G852" s="44"/>
    </row>
    <row r="853" spans="7:7" ht="13" x14ac:dyDescent="0.15">
      <c r="G853" s="44"/>
    </row>
    <row r="854" spans="7:7" ht="13" x14ac:dyDescent="0.15">
      <c r="G854" s="44"/>
    </row>
    <row r="855" spans="7:7" ht="13" x14ac:dyDescent="0.15">
      <c r="G855" s="44"/>
    </row>
    <row r="856" spans="7:7" ht="13" x14ac:dyDescent="0.15">
      <c r="G856" s="44"/>
    </row>
    <row r="857" spans="7:7" ht="13" x14ac:dyDescent="0.15">
      <c r="G857" s="44"/>
    </row>
    <row r="858" spans="7:7" ht="13" x14ac:dyDescent="0.15">
      <c r="G858" s="44"/>
    </row>
    <row r="859" spans="7:7" ht="13" x14ac:dyDescent="0.15">
      <c r="G859" s="44"/>
    </row>
    <row r="860" spans="7:7" ht="13" x14ac:dyDescent="0.15">
      <c r="G860" s="44"/>
    </row>
    <row r="861" spans="7:7" ht="13" x14ac:dyDescent="0.15">
      <c r="G861" s="44"/>
    </row>
    <row r="862" spans="7:7" ht="13" x14ac:dyDescent="0.15">
      <c r="G862" s="44"/>
    </row>
    <row r="863" spans="7:7" ht="13" x14ac:dyDescent="0.15">
      <c r="G863" s="44"/>
    </row>
    <row r="864" spans="7:7" ht="13" x14ac:dyDescent="0.15">
      <c r="G864" s="44"/>
    </row>
    <row r="865" spans="7:7" ht="13" x14ac:dyDescent="0.15">
      <c r="G865" s="44"/>
    </row>
    <row r="866" spans="7:7" ht="13" x14ac:dyDescent="0.15">
      <c r="G866" s="44"/>
    </row>
    <row r="867" spans="7:7" ht="13" x14ac:dyDescent="0.15">
      <c r="G867" s="44"/>
    </row>
    <row r="868" spans="7:7" ht="13" x14ac:dyDescent="0.15">
      <c r="G868" s="44"/>
    </row>
    <row r="869" spans="7:7" ht="13" x14ac:dyDescent="0.15">
      <c r="G869" s="44"/>
    </row>
    <row r="870" spans="7:7" ht="13" x14ac:dyDescent="0.15">
      <c r="G870" s="44"/>
    </row>
    <row r="871" spans="7:7" ht="13" x14ac:dyDescent="0.15">
      <c r="G871" s="44"/>
    </row>
    <row r="872" spans="7:7" ht="13" x14ac:dyDescent="0.15">
      <c r="G872" s="44"/>
    </row>
    <row r="873" spans="7:7" ht="13" x14ac:dyDescent="0.15">
      <c r="G873" s="44"/>
    </row>
    <row r="874" spans="7:7" ht="13" x14ac:dyDescent="0.15">
      <c r="G874" s="44"/>
    </row>
    <row r="875" spans="7:7" ht="13" x14ac:dyDescent="0.15">
      <c r="G875" s="44"/>
    </row>
    <row r="876" spans="7:7" ht="13" x14ac:dyDescent="0.15">
      <c r="G876" s="44"/>
    </row>
    <row r="877" spans="7:7" ht="13" x14ac:dyDescent="0.15">
      <c r="G877" s="44"/>
    </row>
    <row r="878" spans="7:7" ht="13" x14ac:dyDescent="0.15">
      <c r="G878" s="44"/>
    </row>
    <row r="879" spans="7:7" ht="13" x14ac:dyDescent="0.15">
      <c r="G879" s="44"/>
    </row>
    <row r="880" spans="7:7" ht="13" x14ac:dyDescent="0.15">
      <c r="G880" s="44"/>
    </row>
    <row r="881" spans="7:7" ht="13" x14ac:dyDescent="0.15">
      <c r="G881" s="44"/>
    </row>
    <row r="882" spans="7:7" ht="13" x14ac:dyDescent="0.15">
      <c r="G882" s="44"/>
    </row>
    <row r="883" spans="7:7" ht="13" x14ac:dyDescent="0.15">
      <c r="G883" s="44"/>
    </row>
    <row r="884" spans="7:7" ht="13" x14ac:dyDescent="0.15">
      <c r="G884" s="44"/>
    </row>
    <row r="885" spans="7:7" ht="13" x14ac:dyDescent="0.15">
      <c r="G885" s="44"/>
    </row>
    <row r="886" spans="7:7" ht="13" x14ac:dyDescent="0.15">
      <c r="G886" s="44"/>
    </row>
    <row r="887" spans="7:7" ht="13" x14ac:dyDescent="0.15">
      <c r="G887" s="44"/>
    </row>
    <row r="888" spans="7:7" ht="13" x14ac:dyDescent="0.15">
      <c r="G888" s="44"/>
    </row>
    <row r="889" spans="7:7" ht="13" x14ac:dyDescent="0.15">
      <c r="G889" s="44"/>
    </row>
    <row r="890" spans="7:7" ht="13" x14ac:dyDescent="0.15">
      <c r="G890" s="44"/>
    </row>
    <row r="891" spans="7:7" ht="13" x14ac:dyDescent="0.15">
      <c r="G891" s="44"/>
    </row>
    <row r="892" spans="7:7" ht="13" x14ac:dyDescent="0.15">
      <c r="G892" s="44"/>
    </row>
    <row r="893" spans="7:7" ht="13" x14ac:dyDescent="0.15">
      <c r="G893" s="44"/>
    </row>
    <row r="894" spans="7:7" ht="13" x14ac:dyDescent="0.15">
      <c r="G894" s="44"/>
    </row>
    <row r="895" spans="7:7" ht="13" x14ac:dyDescent="0.15">
      <c r="G895" s="44"/>
    </row>
    <row r="896" spans="7:7" ht="13" x14ac:dyDescent="0.15">
      <c r="G896" s="44"/>
    </row>
    <row r="897" spans="7:7" ht="13" x14ac:dyDescent="0.15">
      <c r="G897" s="44"/>
    </row>
    <row r="898" spans="7:7" ht="13" x14ac:dyDescent="0.15">
      <c r="G898" s="44"/>
    </row>
    <row r="899" spans="7:7" ht="13" x14ac:dyDescent="0.15">
      <c r="G899" s="44"/>
    </row>
    <row r="900" spans="7:7" ht="13" x14ac:dyDescent="0.15">
      <c r="G900" s="44"/>
    </row>
    <row r="901" spans="7:7" ht="13" x14ac:dyDescent="0.15">
      <c r="G901" s="44"/>
    </row>
    <row r="902" spans="7:7" ht="13" x14ac:dyDescent="0.15">
      <c r="G902" s="44"/>
    </row>
    <row r="903" spans="7:7" ht="13" x14ac:dyDescent="0.15">
      <c r="G903" s="44"/>
    </row>
    <row r="904" spans="7:7" ht="13" x14ac:dyDescent="0.15">
      <c r="G904" s="44"/>
    </row>
    <row r="905" spans="7:7" ht="13" x14ac:dyDescent="0.15">
      <c r="G905" s="44"/>
    </row>
    <row r="906" spans="7:7" ht="13" x14ac:dyDescent="0.15">
      <c r="G906" s="44"/>
    </row>
    <row r="907" spans="7:7" ht="13" x14ac:dyDescent="0.15">
      <c r="G907" s="44"/>
    </row>
    <row r="908" spans="7:7" ht="13" x14ac:dyDescent="0.15">
      <c r="G908" s="44"/>
    </row>
    <row r="909" spans="7:7" ht="13" x14ac:dyDescent="0.15">
      <c r="G909" s="44"/>
    </row>
    <row r="910" spans="7:7" ht="13" x14ac:dyDescent="0.15">
      <c r="G910" s="44"/>
    </row>
    <row r="911" spans="7:7" ht="13" x14ac:dyDescent="0.15">
      <c r="G911" s="44"/>
    </row>
    <row r="912" spans="7:7" ht="13" x14ac:dyDescent="0.15">
      <c r="G912" s="44"/>
    </row>
    <row r="913" spans="7:7" ht="13" x14ac:dyDescent="0.15">
      <c r="G913" s="44"/>
    </row>
    <row r="914" spans="7:7" ht="13" x14ac:dyDescent="0.15">
      <c r="G914" s="44"/>
    </row>
    <row r="915" spans="7:7" ht="13" x14ac:dyDescent="0.15">
      <c r="G915" s="44"/>
    </row>
    <row r="916" spans="7:7" ht="13" x14ac:dyDescent="0.15">
      <c r="G916" s="44"/>
    </row>
    <row r="917" spans="7:7" ht="13" x14ac:dyDescent="0.15">
      <c r="G917" s="44"/>
    </row>
    <row r="918" spans="7:7" ht="13" x14ac:dyDescent="0.15">
      <c r="G918" s="44"/>
    </row>
    <row r="919" spans="7:7" ht="13" x14ac:dyDescent="0.15">
      <c r="G919" s="44"/>
    </row>
    <row r="920" spans="7:7" ht="13" x14ac:dyDescent="0.15">
      <c r="G920" s="44"/>
    </row>
    <row r="921" spans="7:7" ht="13" x14ac:dyDescent="0.15">
      <c r="G921" s="44"/>
    </row>
    <row r="922" spans="7:7" ht="13" x14ac:dyDescent="0.15">
      <c r="G922" s="44"/>
    </row>
    <row r="923" spans="7:7" ht="13" x14ac:dyDescent="0.15">
      <c r="G923" s="44"/>
    </row>
    <row r="924" spans="7:7" ht="13" x14ac:dyDescent="0.15">
      <c r="G924" s="44"/>
    </row>
    <row r="925" spans="7:7" ht="13" x14ac:dyDescent="0.15">
      <c r="G925" s="44"/>
    </row>
    <row r="926" spans="7:7" ht="13" x14ac:dyDescent="0.15">
      <c r="G926" s="44"/>
    </row>
    <row r="927" spans="7:7" ht="13" x14ac:dyDescent="0.15">
      <c r="G927" s="44"/>
    </row>
    <row r="928" spans="7:7" ht="13" x14ac:dyDescent="0.15">
      <c r="G928" s="44"/>
    </row>
    <row r="929" spans="7:7" ht="13" x14ac:dyDescent="0.15">
      <c r="G929" s="44"/>
    </row>
    <row r="930" spans="7:7" ht="13" x14ac:dyDescent="0.15">
      <c r="G930" s="44"/>
    </row>
    <row r="931" spans="7:7" ht="13" x14ac:dyDescent="0.15">
      <c r="G931" s="44"/>
    </row>
    <row r="932" spans="7:7" ht="13" x14ac:dyDescent="0.15">
      <c r="G932" s="44"/>
    </row>
    <row r="933" spans="7:7" ht="13" x14ac:dyDescent="0.15">
      <c r="G933" s="44"/>
    </row>
    <row r="934" spans="7:7" ht="13" x14ac:dyDescent="0.15">
      <c r="G934" s="44"/>
    </row>
    <row r="935" spans="7:7" ht="13" x14ac:dyDescent="0.15">
      <c r="G935" s="44"/>
    </row>
    <row r="936" spans="7:7" ht="13" x14ac:dyDescent="0.15">
      <c r="G936" s="44"/>
    </row>
    <row r="937" spans="7:7" ht="13" x14ac:dyDescent="0.15">
      <c r="G937" s="44"/>
    </row>
    <row r="938" spans="7:7" ht="13" x14ac:dyDescent="0.15">
      <c r="G938" s="44"/>
    </row>
    <row r="939" spans="7:7" ht="13" x14ac:dyDescent="0.15">
      <c r="G939" s="44"/>
    </row>
    <row r="940" spans="7:7" ht="13" x14ac:dyDescent="0.15">
      <c r="G940" s="44"/>
    </row>
    <row r="941" spans="7:7" ht="13" x14ac:dyDescent="0.15">
      <c r="G941" s="44"/>
    </row>
    <row r="942" spans="7:7" ht="13" x14ac:dyDescent="0.15">
      <c r="G942" s="44"/>
    </row>
    <row r="943" spans="7:7" ht="13" x14ac:dyDescent="0.15">
      <c r="G943" s="44"/>
    </row>
    <row r="944" spans="7:7" ht="13" x14ac:dyDescent="0.15">
      <c r="G944" s="44"/>
    </row>
    <row r="945" spans="7:7" ht="13" x14ac:dyDescent="0.15">
      <c r="G945" s="44"/>
    </row>
    <row r="946" spans="7:7" ht="13" x14ac:dyDescent="0.15">
      <c r="G946" s="44"/>
    </row>
    <row r="947" spans="7:7" ht="13" x14ac:dyDescent="0.15">
      <c r="G947" s="44"/>
    </row>
    <row r="948" spans="7:7" ht="13" x14ac:dyDescent="0.15">
      <c r="G948" s="44"/>
    </row>
    <row r="949" spans="7:7" ht="13" x14ac:dyDescent="0.15">
      <c r="G949" s="44"/>
    </row>
    <row r="950" spans="7:7" ht="13" x14ac:dyDescent="0.15">
      <c r="G950" s="44"/>
    </row>
    <row r="951" spans="7:7" ht="13" x14ac:dyDescent="0.15">
      <c r="G951" s="44"/>
    </row>
    <row r="952" spans="7:7" ht="13" x14ac:dyDescent="0.15">
      <c r="G952" s="44"/>
    </row>
    <row r="953" spans="7:7" ht="13" x14ac:dyDescent="0.15">
      <c r="G953" s="44"/>
    </row>
    <row r="954" spans="7:7" ht="13" x14ac:dyDescent="0.15">
      <c r="G954" s="44"/>
    </row>
    <row r="955" spans="7:7" ht="13" x14ac:dyDescent="0.15">
      <c r="G955" s="44"/>
    </row>
    <row r="956" spans="7:7" ht="13" x14ac:dyDescent="0.15">
      <c r="G956" s="44"/>
    </row>
    <row r="957" spans="7:7" ht="13" x14ac:dyDescent="0.15">
      <c r="G957" s="44"/>
    </row>
    <row r="958" spans="7:7" ht="13" x14ac:dyDescent="0.15">
      <c r="G958" s="44"/>
    </row>
    <row r="959" spans="7:7" ht="13" x14ac:dyDescent="0.15">
      <c r="G959" s="44"/>
    </row>
    <row r="960" spans="7:7" ht="13" x14ac:dyDescent="0.15">
      <c r="G960" s="44"/>
    </row>
    <row r="961" spans="7:7" ht="13" x14ac:dyDescent="0.15">
      <c r="G961" s="44"/>
    </row>
    <row r="962" spans="7:7" ht="13" x14ac:dyDescent="0.15">
      <c r="G962" s="44"/>
    </row>
    <row r="963" spans="7:7" ht="13" x14ac:dyDescent="0.15">
      <c r="G963" s="44"/>
    </row>
    <row r="964" spans="7:7" ht="13" x14ac:dyDescent="0.15">
      <c r="G964" s="44"/>
    </row>
    <row r="965" spans="7:7" ht="13" x14ac:dyDescent="0.15">
      <c r="G965" s="44"/>
    </row>
    <row r="966" spans="7:7" ht="13" x14ac:dyDescent="0.15">
      <c r="G966" s="44"/>
    </row>
    <row r="967" spans="7:7" ht="13" x14ac:dyDescent="0.15">
      <c r="G967" s="44"/>
    </row>
    <row r="968" spans="7:7" ht="13" x14ac:dyDescent="0.15">
      <c r="G968" s="44"/>
    </row>
    <row r="969" spans="7:7" ht="13" x14ac:dyDescent="0.15">
      <c r="G969" s="44"/>
    </row>
    <row r="970" spans="7:7" ht="13" x14ac:dyDescent="0.15">
      <c r="G970" s="44"/>
    </row>
    <row r="971" spans="7:7" ht="13" x14ac:dyDescent="0.15">
      <c r="G971" s="44"/>
    </row>
    <row r="972" spans="7:7" ht="13" x14ac:dyDescent="0.15">
      <c r="G972" s="44"/>
    </row>
    <row r="973" spans="7:7" ht="13" x14ac:dyDescent="0.15">
      <c r="G973" s="44"/>
    </row>
    <row r="974" spans="7:7" ht="13" x14ac:dyDescent="0.15">
      <c r="G974" s="44"/>
    </row>
    <row r="975" spans="7:7" ht="13" x14ac:dyDescent="0.15">
      <c r="G975" s="44"/>
    </row>
    <row r="976" spans="7:7" ht="13" x14ac:dyDescent="0.15">
      <c r="G976" s="44"/>
    </row>
    <row r="977" spans="7:7" ht="13" x14ac:dyDescent="0.15">
      <c r="G977" s="44"/>
    </row>
    <row r="978" spans="7:7" ht="13" x14ac:dyDescent="0.15">
      <c r="G978" s="44"/>
    </row>
    <row r="979" spans="7:7" ht="13" x14ac:dyDescent="0.15">
      <c r="G979" s="44"/>
    </row>
    <row r="980" spans="7:7" ht="13" x14ac:dyDescent="0.15">
      <c r="G980" s="44"/>
    </row>
    <row r="981" spans="7:7" ht="13" x14ac:dyDescent="0.15">
      <c r="G981" s="44"/>
    </row>
    <row r="982" spans="7:7" ht="13" x14ac:dyDescent="0.15">
      <c r="G982" s="44"/>
    </row>
    <row r="983" spans="7:7" ht="13" x14ac:dyDescent="0.15">
      <c r="G983" s="44"/>
    </row>
    <row r="984" spans="7:7" ht="13" x14ac:dyDescent="0.15">
      <c r="G984" s="44"/>
    </row>
    <row r="985" spans="7:7" ht="13" x14ac:dyDescent="0.15">
      <c r="G985" s="44"/>
    </row>
    <row r="986" spans="7:7" ht="13" x14ac:dyDescent="0.15">
      <c r="G986" s="44"/>
    </row>
    <row r="987" spans="7:7" ht="13" x14ac:dyDescent="0.15">
      <c r="G987" s="44"/>
    </row>
    <row r="988" spans="7:7" ht="13" x14ac:dyDescent="0.15">
      <c r="G988" s="44"/>
    </row>
    <row r="989" spans="7:7" ht="13" x14ac:dyDescent="0.15">
      <c r="G989" s="44"/>
    </row>
    <row r="990" spans="7:7" ht="13" x14ac:dyDescent="0.15">
      <c r="G990" s="44"/>
    </row>
    <row r="991" spans="7:7" ht="13" x14ac:dyDescent="0.15">
      <c r="G991" s="44"/>
    </row>
    <row r="992" spans="7:7" ht="13" x14ac:dyDescent="0.15">
      <c r="G992" s="44"/>
    </row>
    <row r="993" spans="7:7" ht="13" x14ac:dyDescent="0.15">
      <c r="G993" s="44"/>
    </row>
    <row r="994" spans="7:7" ht="13" x14ac:dyDescent="0.15">
      <c r="G994" s="44"/>
    </row>
    <row r="995" spans="7:7" ht="13" x14ac:dyDescent="0.15">
      <c r="G995" s="44"/>
    </row>
    <row r="996" spans="7:7" ht="13" x14ac:dyDescent="0.15">
      <c r="G996" s="44"/>
    </row>
    <row r="997" spans="7:7" ht="13" x14ac:dyDescent="0.15">
      <c r="G997" s="44"/>
    </row>
    <row r="998" spans="7:7" ht="13" x14ac:dyDescent="0.15">
      <c r="G998" s="44"/>
    </row>
    <row r="999" spans="7:7" ht="13" x14ac:dyDescent="0.15">
      <c r="G999" s="44"/>
    </row>
    <row r="1000" spans="7:7" ht="13" x14ac:dyDescent="0.15">
      <c r="G1000" s="44"/>
    </row>
    <row r="1001" spans="7:7" ht="13" x14ac:dyDescent="0.15">
      <c r="G1001" s="44"/>
    </row>
    <row r="1002" spans="7:7" ht="13" x14ac:dyDescent="0.15">
      <c r="G1002" s="44"/>
    </row>
    <row r="1003" spans="7:7" ht="13" x14ac:dyDescent="0.15">
      <c r="G1003" s="44"/>
    </row>
    <row r="1004" spans="7:7" ht="13" x14ac:dyDescent="0.15">
      <c r="G1004" s="44"/>
    </row>
    <row r="1005" spans="7:7" ht="13" x14ac:dyDescent="0.15">
      <c r="G1005" s="44"/>
    </row>
    <row r="1006" spans="7:7" ht="13" x14ac:dyDescent="0.15">
      <c r="G1006" s="44"/>
    </row>
    <row r="1007" spans="7:7" ht="13" x14ac:dyDescent="0.15">
      <c r="G1007" s="44"/>
    </row>
    <row r="1008" spans="7:7" ht="13" x14ac:dyDescent="0.15">
      <c r="G1008" s="44"/>
    </row>
    <row r="1009" spans="7:7" ht="13" x14ac:dyDescent="0.15">
      <c r="G1009" s="44"/>
    </row>
    <row r="1010" spans="7:7" ht="13" x14ac:dyDescent="0.15">
      <c r="G1010" s="44"/>
    </row>
    <row r="1011" spans="7:7" ht="13" x14ac:dyDescent="0.15">
      <c r="G1011" s="44"/>
    </row>
  </sheetData>
  <dataValidations count="1">
    <dataValidation type="list" allowBlank="1" showErrorMessage="1" sqref="D8:D12 D15:D21 D24:D31 D36:D40 D43:D46 D52:D54 D58:D59" xr:uid="{00000000-0002-0000-0700-000000000000}">
      <formula1>"Monthly,Yearly,One-Time,Each Time,Optional"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2:M55"/>
  <sheetViews>
    <sheetView workbookViewId="0">
      <selection activeCell="E9" sqref="E9"/>
    </sheetView>
  </sheetViews>
  <sheetFormatPr baseColWidth="10" defaultColWidth="12.6640625" defaultRowHeight="15.75" customHeight="1" x14ac:dyDescent="0.15"/>
  <cols>
    <col min="2" max="2" width="18" customWidth="1"/>
    <col min="3" max="3" width="33.6640625" customWidth="1"/>
    <col min="5" max="5" width="18.6640625" customWidth="1"/>
    <col min="6" max="6" width="16.5" customWidth="1"/>
  </cols>
  <sheetData>
    <row r="2" spans="2:11" ht="13" x14ac:dyDescent="0.15">
      <c r="F2" s="217" t="s">
        <v>195</v>
      </c>
      <c r="G2" s="190"/>
      <c r="H2" s="190"/>
      <c r="I2" s="191"/>
    </row>
    <row r="3" spans="2:11" ht="13" x14ac:dyDescent="0.15">
      <c r="E3" s="60" t="s">
        <v>196</v>
      </c>
      <c r="F3" s="52">
        <v>1.1000000000000001</v>
      </c>
      <c r="G3" s="53">
        <v>1.1000000000000001</v>
      </c>
      <c r="H3" s="53">
        <v>1.1000000000000001</v>
      </c>
      <c r="I3" s="77">
        <v>1.1000000000000001</v>
      </c>
    </row>
    <row r="4" spans="2:11" ht="13" x14ac:dyDescent="0.15">
      <c r="E4" s="4" t="s">
        <v>78</v>
      </c>
      <c r="F4" s="4" t="s">
        <v>79</v>
      </c>
      <c r="G4" s="4" t="s">
        <v>80</v>
      </c>
      <c r="H4" s="4" t="s">
        <v>81</v>
      </c>
      <c r="I4" s="4" t="s">
        <v>82</v>
      </c>
    </row>
    <row r="5" spans="2:11" ht="13" x14ac:dyDescent="0.15">
      <c r="C5" s="4" t="s">
        <v>197</v>
      </c>
      <c r="D5" s="78">
        <v>185000</v>
      </c>
      <c r="E5" s="78">
        <f t="shared" ref="E5:E7" si="0">D5*1.3</f>
        <v>240500</v>
      </c>
      <c r="F5" s="78">
        <f t="shared" ref="F5:I5" si="1">E5*F$3</f>
        <v>264550</v>
      </c>
      <c r="G5" s="78">
        <f t="shared" si="1"/>
        <v>291005</v>
      </c>
      <c r="H5" s="78">
        <f t="shared" si="1"/>
        <v>320105.5</v>
      </c>
      <c r="I5" s="78">
        <f t="shared" si="1"/>
        <v>352116.05000000005</v>
      </c>
    </row>
    <row r="6" spans="2:11" ht="13" x14ac:dyDescent="0.15">
      <c r="C6" s="4" t="s">
        <v>198</v>
      </c>
      <c r="D6" s="78">
        <v>150000</v>
      </c>
      <c r="E6" s="78">
        <f t="shared" si="0"/>
        <v>195000</v>
      </c>
      <c r="F6" s="78">
        <f t="shared" ref="F6:I6" si="2">E6*F$3</f>
        <v>214500.00000000003</v>
      </c>
      <c r="G6" s="78">
        <f t="shared" si="2"/>
        <v>235950.00000000006</v>
      </c>
      <c r="H6" s="78">
        <f t="shared" si="2"/>
        <v>259545.00000000009</v>
      </c>
      <c r="I6" s="78">
        <f t="shared" si="2"/>
        <v>285499.50000000012</v>
      </c>
    </row>
    <row r="7" spans="2:11" ht="13" x14ac:dyDescent="0.15">
      <c r="C7" s="4" t="s">
        <v>199</v>
      </c>
      <c r="D7" s="78">
        <v>150000</v>
      </c>
      <c r="E7" s="78">
        <f t="shared" si="0"/>
        <v>195000</v>
      </c>
      <c r="F7" s="78">
        <f t="shared" ref="F7:I7" si="3">E7*F$3</f>
        <v>214500.00000000003</v>
      </c>
      <c r="G7" s="78">
        <f t="shared" si="3"/>
        <v>235950.00000000006</v>
      </c>
      <c r="H7" s="78">
        <f t="shared" si="3"/>
        <v>259545.00000000009</v>
      </c>
      <c r="I7" s="78">
        <f t="shared" si="3"/>
        <v>285499.50000000012</v>
      </c>
    </row>
    <row r="8" spans="2:11" ht="13" x14ac:dyDescent="0.15">
      <c r="B8" s="4"/>
      <c r="C8" s="4" t="s">
        <v>200</v>
      </c>
      <c r="D8" s="78">
        <v>150000</v>
      </c>
      <c r="E8" s="78">
        <f>D8*0.5</f>
        <v>75000</v>
      </c>
      <c r="F8" s="78">
        <f t="shared" ref="F8:I8" si="4">E8*F$3</f>
        <v>82500</v>
      </c>
      <c r="G8" s="78">
        <f t="shared" si="4"/>
        <v>90750.000000000015</v>
      </c>
      <c r="H8" s="78">
        <f t="shared" si="4"/>
        <v>99825.000000000029</v>
      </c>
      <c r="I8" s="78">
        <f t="shared" si="4"/>
        <v>109807.50000000004</v>
      </c>
    </row>
    <row r="9" spans="2:11" ht="28" x14ac:dyDescent="0.15">
      <c r="C9" s="79"/>
      <c r="D9" s="80" t="s">
        <v>201</v>
      </c>
      <c r="E9" s="81">
        <f t="shared" ref="E9:I9" si="5">SUM(E3:E8)</f>
        <v>705500</v>
      </c>
      <c r="F9" s="81">
        <f t="shared" si="5"/>
        <v>776051.1</v>
      </c>
      <c r="G9" s="81">
        <f t="shared" si="5"/>
        <v>853656.10000000009</v>
      </c>
      <c r="H9" s="81">
        <f t="shared" si="5"/>
        <v>939021.60000000021</v>
      </c>
      <c r="I9" s="81">
        <f t="shared" si="5"/>
        <v>1032923.6500000003</v>
      </c>
    </row>
    <row r="10" spans="2:11" ht="13" x14ac:dyDescent="0.15">
      <c r="C10" s="79"/>
      <c r="D10" s="78"/>
      <c r="E10" s="78"/>
      <c r="G10" s="4"/>
    </row>
    <row r="11" spans="2:11" ht="13" x14ac:dyDescent="0.15">
      <c r="C11" s="79"/>
      <c r="D11" s="78"/>
      <c r="E11" s="78"/>
      <c r="G11" s="4"/>
    </row>
    <row r="12" spans="2:11" ht="13" x14ac:dyDescent="0.15">
      <c r="C12" s="79"/>
      <c r="D12" s="78"/>
      <c r="E12" s="78"/>
      <c r="G12" s="4"/>
    </row>
    <row r="13" spans="2:11" ht="14" x14ac:dyDescent="0.15">
      <c r="C13" s="79" t="s">
        <v>202</v>
      </c>
      <c r="D13" s="78"/>
      <c r="E13" s="78"/>
      <c r="G13" s="4"/>
    </row>
    <row r="14" spans="2:11" ht="13" x14ac:dyDescent="0.15">
      <c r="C14" s="79"/>
      <c r="D14" s="78"/>
      <c r="E14" s="78"/>
      <c r="G14" s="4"/>
    </row>
    <row r="15" spans="2:11" ht="16" x14ac:dyDescent="0.2">
      <c r="C15" s="79"/>
      <c r="D15" s="78"/>
      <c r="E15" s="78"/>
      <c r="G15" s="4"/>
      <c r="H15" s="218" t="s">
        <v>195</v>
      </c>
      <c r="I15" s="190"/>
      <c r="J15" s="190"/>
      <c r="K15" s="191"/>
    </row>
    <row r="16" spans="2:11" ht="56" x14ac:dyDescent="0.15">
      <c r="C16" s="82" t="s">
        <v>203</v>
      </c>
      <c r="D16" s="78"/>
      <c r="E16" s="60" t="s">
        <v>196</v>
      </c>
      <c r="F16" s="83" t="s">
        <v>204</v>
      </c>
      <c r="G16" s="83" t="s">
        <v>205</v>
      </c>
      <c r="H16" s="84">
        <v>1.1000000000000001</v>
      </c>
      <c r="I16" s="85">
        <v>1.1000000000000001</v>
      </c>
      <c r="J16" s="85">
        <v>1.1000000000000001</v>
      </c>
      <c r="K16" s="86">
        <v>1.1000000000000001</v>
      </c>
    </row>
    <row r="17" spans="1:13" ht="13" x14ac:dyDescent="0.15">
      <c r="B17" s="87"/>
      <c r="C17" s="79"/>
      <c r="D17" s="60"/>
      <c r="G17" s="4" t="s">
        <v>78</v>
      </c>
      <c r="H17" s="4" t="s">
        <v>79</v>
      </c>
      <c r="I17" s="4" t="s">
        <v>80</v>
      </c>
      <c r="J17" s="4" t="s">
        <v>81</v>
      </c>
      <c r="K17" s="4" t="s">
        <v>82</v>
      </c>
    </row>
    <row r="18" spans="1:13" ht="15" x14ac:dyDescent="0.2">
      <c r="B18" s="87"/>
      <c r="C18" s="88" t="s">
        <v>206</v>
      </c>
      <c r="D18" s="89">
        <v>171200</v>
      </c>
      <c r="E18" s="78">
        <f t="shared" ref="E18:E28" si="6">D18*1.3</f>
        <v>222560</v>
      </c>
      <c r="F18" s="90">
        <v>1</v>
      </c>
      <c r="G18" s="78">
        <f t="shared" ref="G18:G28" si="7">E18*F18</f>
        <v>222560</v>
      </c>
      <c r="H18" s="78">
        <f t="shared" ref="H18:H28" si="8">G18*$H$16</f>
        <v>244816.00000000003</v>
      </c>
      <c r="I18" s="78">
        <f t="shared" ref="I18:I28" si="9">H18*$I$16</f>
        <v>269297.60000000003</v>
      </c>
      <c r="J18" s="78">
        <f t="shared" ref="J18:J28" si="10">I18*$J$16</f>
        <v>296227.36000000004</v>
      </c>
      <c r="K18" s="78">
        <f t="shared" ref="K18:K28" si="11">J18*$K$16</f>
        <v>325850.09600000008</v>
      </c>
    </row>
    <row r="19" spans="1:13" ht="15" x14ac:dyDescent="0.2">
      <c r="B19" s="87" t="s">
        <v>207</v>
      </c>
      <c r="C19" s="88" t="s">
        <v>208</v>
      </c>
      <c r="D19" s="89">
        <v>153042</v>
      </c>
      <c r="E19" s="78">
        <f t="shared" si="6"/>
        <v>198954.6</v>
      </c>
      <c r="F19" s="90">
        <v>2</v>
      </c>
      <c r="G19" s="78">
        <f t="shared" si="7"/>
        <v>397909.2</v>
      </c>
      <c r="H19" s="78">
        <f t="shared" si="8"/>
        <v>437700.12000000005</v>
      </c>
      <c r="I19" s="78">
        <f t="shared" si="9"/>
        <v>481470.1320000001</v>
      </c>
      <c r="J19" s="78">
        <f t="shared" si="10"/>
        <v>529617.14520000014</v>
      </c>
      <c r="K19" s="78">
        <f t="shared" si="11"/>
        <v>582578.85972000018</v>
      </c>
      <c r="L19" s="87" t="s">
        <v>209</v>
      </c>
      <c r="M19" s="4" t="s">
        <v>210</v>
      </c>
    </row>
    <row r="20" spans="1:13" ht="15" x14ac:dyDescent="0.2">
      <c r="B20" s="87" t="s">
        <v>207</v>
      </c>
      <c r="C20" s="88" t="s">
        <v>211</v>
      </c>
      <c r="D20" s="89">
        <v>149892</v>
      </c>
      <c r="E20" s="78">
        <f t="shared" si="6"/>
        <v>194859.6</v>
      </c>
      <c r="F20" s="90">
        <v>0.5</v>
      </c>
      <c r="G20" s="78">
        <f t="shared" si="7"/>
        <v>97429.8</v>
      </c>
      <c r="H20" s="78">
        <f t="shared" si="8"/>
        <v>107172.78000000001</v>
      </c>
      <c r="I20" s="78">
        <f t="shared" si="9"/>
        <v>117890.05800000002</v>
      </c>
      <c r="J20" s="78">
        <f t="shared" si="10"/>
        <v>129679.06380000003</v>
      </c>
      <c r="K20" s="78">
        <f t="shared" si="11"/>
        <v>142646.97018000003</v>
      </c>
      <c r="M20" s="4" t="s">
        <v>212</v>
      </c>
    </row>
    <row r="21" spans="1:13" ht="15" x14ac:dyDescent="0.2">
      <c r="B21" s="87"/>
      <c r="C21" s="88" t="s">
        <v>213</v>
      </c>
      <c r="D21" s="89">
        <v>120000</v>
      </c>
      <c r="E21" s="78">
        <f t="shared" si="6"/>
        <v>156000</v>
      </c>
      <c r="F21" s="90">
        <v>1</v>
      </c>
      <c r="G21" s="78">
        <f t="shared" si="7"/>
        <v>156000</v>
      </c>
      <c r="H21" s="78">
        <f t="shared" si="8"/>
        <v>171600</v>
      </c>
      <c r="I21" s="78">
        <f t="shared" si="9"/>
        <v>188760.00000000003</v>
      </c>
      <c r="J21" s="78">
        <f t="shared" si="10"/>
        <v>207636.00000000006</v>
      </c>
      <c r="K21" s="78">
        <f t="shared" si="11"/>
        <v>228399.60000000009</v>
      </c>
    </row>
    <row r="22" spans="1:13" ht="15" x14ac:dyDescent="0.2">
      <c r="B22" s="87" t="s">
        <v>207</v>
      </c>
      <c r="C22" s="88" t="s">
        <v>214</v>
      </c>
      <c r="D22" s="89">
        <v>107899</v>
      </c>
      <c r="E22" s="78">
        <f t="shared" si="6"/>
        <v>140268.70000000001</v>
      </c>
      <c r="F22" s="90">
        <v>1</v>
      </c>
      <c r="G22" s="78">
        <f t="shared" si="7"/>
        <v>140268.70000000001</v>
      </c>
      <c r="H22" s="78">
        <f t="shared" si="8"/>
        <v>154295.57000000004</v>
      </c>
      <c r="I22" s="78">
        <f t="shared" si="9"/>
        <v>169725.12700000007</v>
      </c>
      <c r="J22" s="78">
        <f t="shared" si="10"/>
        <v>186697.63970000009</v>
      </c>
      <c r="K22" s="78">
        <f t="shared" si="11"/>
        <v>205367.40367000012</v>
      </c>
    </row>
    <row r="23" spans="1:13" ht="15" x14ac:dyDescent="0.2">
      <c r="A23" s="91"/>
      <c r="B23" s="87" t="s">
        <v>207</v>
      </c>
      <c r="C23" s="88" t="s">
        <v>215</v>
      </c>
      <c r="D23" s="89">
        <v>102610</v>
      </c>
      <c r="E23" s="78">
        <f t="shared" si="6"/>
        <v>133393</v>
      </c>
      <c r="F23" s="90">
        <v>0.5</v>
      </c>
      <c r="G23" s="78">
        <f t="shared" si="7"/>
        <v>66696.5</v>
      </c>
      <c r="H23" s="78">
        <f t="shared" si="8"/>
        <v>73366.150000000009</v>
      </c>
      <c r="I23" s="78">
        <f t="shared" si="9"/>
        <v>80702.765000000014</v>
      </c>
      <c r="J23" s="78">
        <f t="shared" si="10"/>
        <v>88773.041500000021</v>
      </c>
      <c r="K23" s="78">
        <f t="shared" si="11"/>
        <v>97650.345650000032</v>
      </c>
    </row>
    <row r="24" spans="1:13" ht="15" x14ac:dyDescent="0.2">
      <c r="C24" s="88" t="s">
        <v>216</v>
      </c>
      <c r="D24" s="89">
        <v>101946</v>
      </c>
      <c r="E24" s="78">
        <f t="shared" si="6"/>
        <v>132529.80000000002</v>
      </c>
      <c r="F24" s="90">
        <v>1</v>
      </c>
      <c r="G24" s="78">
        <f t="shared" si="7"/>
        <v>132529.80000000002</v>
      </c>
      <c r="H24" s="78">
        <f t="shared" si="8"/>
        <v>145782.78000000003</v>
      </c>
      <c r="I24" s="78">
        <f t="shared" si="9"/>
        <v>160361.05800000005</v>
      </c>
      <c r="J24" s="78">
        <f t="shared" si="10"/>
        <v>176397.16380000007</v>
      </c>
      <c r="K24" s="78">
        <f t="shared" si="11"/>
        <v>194036.88018000009</v>
      </c>
    </row>
    <row r="25" spans="1:13" ht="15" x14ac:dyDescent="0.2">
      <c r="C25" s="88" t="s">
        <v>217</v>
      </c>
      <c r="D25" s="89">
        <v>175000</v>
      </c>
      <c r="E25" s="78">
        <f t="shared" si="6"/>
        <v>227500</v>
      </c>
      <c r="F25" s="90">
        <v>1</v>
      </c>
      <c r="G25" s="78">
        <f t="shared" si="7"/>
        <v>227500</v>
      </c>
      <c r="H25" s="78">
        <f t="shared" si="8"/>
        <v>250250.00000000003</v>
      </c>
      <c r="I25" s="78">
        <f t="shared" si="9"/>
        <v>275275.00000000006</v>
      </c>
      <c r="J25" s="78">
        <f t="shared" si="10"/>
        <v>302802.50000000012</v>
      </c>
      <c r="K25" s="78">
        <f t="shared" si="11"/>
        <v>333082.75000000017</v>
      </c>
    </row>
    <row r="26" spans="1:13" ht="15" x14ac:dyDescent="0.2">
      <c r="C26" s="88" t="s">
        <v>218</v>
      </c>
      <c r="D26" s="89">
        <v>149892</v>
      </c>
      <c r="E26" s="78">
        <f t="shared" si="6"/>
        <v>194859.6</v>
      </c>
      <c r="F26" s="90">
        <v>0.5</v>
      </c>
      <c r="G26" s="78">
        <f t="shared" si="7"/>
        <v>97429.8</v>
      </c>
      <c r="H26" s="78">
        <f t="shared" si="8"/>
        <v>107172.78000000001</v>
      </c>
      <c r="I26" s="78">
        <f t="shared" si="9"/>
        <v>117890.05800000002</v>
      </c>
      <c r="J26" s="78">
        <f t="shared" si="10"/>
        <v>129679.06380000003</v>
      </c>
      <c r="K26" s="78">
        <f t="shared" si="11"/>
        <v>142646.97018000003</v>
      </c>
    </row>
    <row r="27" spans="1:13" ht="15" x14ac:dyDescent="0.2">
      <c r="C27" s="88" t="s">
        <v>219</v>
      </c>
      <c r="D27" s="89">
        <v>100000</v>
      </c>
      <c r="E27" s="78">
        <f t="shared" si="6"/>
        <v>130000</v>
      </c>
      <c r="F27" s="90">
        <v>1</v>
      </c>
      <c r="G27" s="78">
        <f t="shared" si="7"/>
        <v>130000</v>
      </c>
      <c r="H27" s="78">
        <f t="shared" si="8"/>
        <v>143000</v>
      </c>
      <c r="I27" s="78">
        <f t="shared" si="9"/>
        <v>157300</v>
      </c>
      <c r="J27" s="78">
        <f t="shared" si="10"/>
        <v>173030</v>
      </c>
      <c r="K27" s="78">
        <f t="shared" si="11"/>
        <v>190333.00000000003</v>
      </c>
    </row>
    <row r="28" spans="1:13" ht="15" x14ac:dyDescent="0.2">
      <c r="C28" s="88" t="s">
        <v>220</v>
      </c>
      <c r="D28" s="89">
        <v>60000</v>
      </c>
      <c r="E28" s="78">
        <f t="shared" si="6"/>
        <v>78000</v>
      </c>
      <c r="F28" s="90">
        <v>0.5</v>
      </c>
      <c r="G28" s="78">
        <f t="shared" si="7"/>
        <v>39000</v>
      </c>
      <c r="H28" s="78">
        <f t="shared" si="8"/>
        <v>42900</v>
      </c>
      <c r="I28" s="78">
        <f t="shared" si="9"/>
        <v>47190.000000000007</v>
      </c>
      <c r="J28" s="78">
        <f t="shared" si="10"/>
        <v>51909.000000000015</v>
      </c>
      <c r="K28" s="78">
        <f t="shared" si="11"/>
        <v>57099.900000000023</v>
      </c>
    </row>
    <row r="29" spans="1:13" ht="13" x14ac:dyDescent="0.15">
      <c r="C29" s="4" t="s">
        <v>221</v>
      </c>
      <c r="F29" s="60"/>
      <c r="G29" s="60"/>
    </row>
    <row r="30" spans="1:13" ht="27" customHeight="1" x14ac:dyDescent="0.15">
      <c r="C30" s="92" t="s">
        <v>222</v>
      </c>
      <c r="F30" s="60"/>
      <c r="G30" s="60"/>
    </row>
    <row r="31" spans="1:13" ht="15" x14ac:dyDescent="0.2">
      <c r="C31" s="88" t="s">
        <v>223</v>
      </c>
      <c r="D31" s="93">
        <v>170000</v>
      </c>
      <c r="E31" s="78">
        <f t="shared" ref="E31:E36" si="12">D31*1.3</f>
        <v>221000</v>
      </c>
      <c r="F31" s="90">
        <v>1</v>
      </c>
      <c r="G31" s="60"/>
      <c r="I31" s="78">
        <f t="shared" ref="I31:I36" si="13">E31</f>
        <v>221000</v>
      </c>
      <c r="J31" s="78">
        <f t="shared" ref="J31:J36" si="14">I31*$J$16</f>
        <v>243100.00000000003</v>
      </c>
      <c r="K31" s="78">
        <f t="shared" ref="K31:K36" si="15">J31*$K$16</f>
        <v>267410.00000000006</v>
      </c>
    </row>
    <row r="32" spans="1:13" ht="15" x14ac:dyDescent="0.2">
      <c r="C32" s="88" t="s">
        <v>224</v>
      </c>
      <c r="D32" s="93">
        <v>160000</v>
      </c>
      <c r="E32" s="78">
        <f t="shared" si="12"/>
        <v>208000</v>
      </c>
      <c r="F32" s="90">
        <v>1</v>
      </c>
      <c r="G32" s="60"/>
      <c r="I32" s="78">
        <f t="shared" si="13"/>
        <v>208000</v>
      </c>
      <c r="J32" s="78">
        <f t="shared" si="14"/>
        <v>228800.00000000003</v>
      </c>
      <c r="K32" s="78">
        <f t="shared" si="15"/>
        <v>251680.00000000006</v>
      </c>
    </row>
    <row r="33" spans="3:11" ht="15" x14ac:dyDescent="0.2">
      <c r="C33" s="88" t="s">
        <v>225</v>
      </c>
      <c r="D33" s="93">
        <v>160000</v>
      </c>
      <c r="E33" s="78">
        <f t="shared" si="12"/>
        <v>208000</v>
      </c>
      <c r="F33" s="90">
        <v>1</v>
      </c>
      <c r="G33" s="60"/>
      <c r="I33" s="78">
        <f t="shared" si="13"/>
        <v>208000</v>
      </c>
      <c r="J33" s="78">
        <f t="shared" si="14"/>
        <v>228800.00000000003</v>
      </c>
      <c r="K33" s="78">
        <f t="shared" si="15"/>
        <v>251680.00000000006</v>
      </c>
    </row>
    <row r="34" spans="3:11" ht="15" x14ac:dyDescent="0.2">
      <c r="C34" s="88" t="s">
        <v>226</v>
      </c>
      <c r="D34" s="93">
        <v>150000</v>
      </c>
      <c r="E34" s="78">
        <f t="shared" si="12"/>
        <v>195000</v>
      </c>
      <c r="F34" s="90">
        <v>1</v>
      </c>
      <c r="G34" s="60"/>
      <c r="I34" s="78">
        <f t="shared" si="13"/>
        <v>195000</v>
      </c>
      <c r="J34" s="78">
        <f t="shared" si="14"/>
        <v>214500.00000000003</v>
      </c>
      <c r="K34" s="78">
        <f t="shared" si="15"/>
        <v>235950.00000000006</v>
      </c>
    </row>
    <row r="35" spans="3:11" ht="15" x14ac:dyDescent="0.2">
      <c r="C35" s="88" t="s">
        <v>227</v>
      </c>
      <c r="D35" s="93">
        <v>150000</v>
      </c>
      <c r="E35" s="78">
        <f t="shared" si="12"/>
        <v>195000</v>
      </c>
      <c r="F35" s="90">
        <v>1</v>
      </c>
      <c r="G35" s="60"/>
      <c r="I35" s="78">
        <f t="shared" si="13"/>
        <v>195000</v>
      </c>
      <c r="J35" s="78">
        <f t="shared" si="14"/>
        <v>214500.00000000003</v>
      </c>
      <c r="K35" s="78">
        <f t="shared" si="15"/>
        <v>235950.00000000006</v>
      </c>
    </row>
    <row r="36" spans="3:11" ht="15" x14ac:dyDescent="0.2">
      <c r="C36" s="88" t="s">
        <v>228</v>
      </c>
      <c r="D36" s="93">
        <v>165000</v>
      </c>
      <c r="E36" s="78">
        <f t="shared" si="12"/>
        <v>214500</v>
      </c>
      <c r="F36" s="90">
        <v>2</v>
      </c>
      <c r="G36" s="60"/>
      <c r="I36" s="78">
        <f t="shared" si="13"/>
        <v>214500</v>
      </c>
      <c r="J36" s="78">
        <f t="shared" si="14"/>
        <v>235950.00000000003</v>
      </c>
      <c r="K36" s="78">
        <f t="shared" si="15"/>
        <v>259545.00000000006</v>
      </c>
    </row>
    <row r="37" spans="3:11" ht="13" x14ac:dyDescent="0.15">
      <c r="F37" s="60"/>
      <c r="G37" s="60"/>
    </row>
    <row r="38" spans="3:11" ht="13" x14ac:dyDescent="0.15">
      <c r="F38" s="60"/>
      <c r="G38" s="60"/>
    </row>
    <row r="39" spans="3:11" ht="13" x14ac:dyDescent="0.15">
      <c r="E39" s="60"/>
      <c r="F39" s="60"/>
      <c r="G39" s="4" t="s">
        <v>78</v>
      </c>
      <c r="H39" s="4" t="s">
        <v>79</v>
      </c>
      <c r="I39" s="4" t="s">
        <v>80</v>
      </c>
      <c r="J39" s="4" t="s">
        <v>81</v>
      </c>
      <c r="K39" s="4" t="s">
        <v>82</v>
      </c>
    </row>
    <row r="40" spans="3:11" ht="13" x14ac:dyDescent="0.15">
      <c r="E40" s="219" t="s">
        <v>229</v>
      </c>
      <c r="F40" s="197"/>
      <c r="G40" s="81">
        <f t="shared" ref="G40:K40" si="16">SUM(G18:G36)</f>
        <v>1707323.8</v>
      </c>
      <c r="H40" s="81">
        <f t="shared" si="16"/>
        <v>1878056.1800000002</v>
      </c>
      <c r="I40" s="81">
        <f t="shared" si="16"/>
        <v>3307361.798</v>
      </c>
      <c r="J40" s="81">
        <f t="shared" si="16"/>
        <v>3638097.9778000009</v>
      </c>
      <c r="K40" s="81">
        <f t="shared" si="16"/>
        <v>4001907.7755800006</v>
      </c>
    </row>
    <row r="45" spans="3:11" ht="13" x14ac:dyDescent="0.15">
      <c r="D45" s="78"/>
    </row>
    <row r="46" spans="3:11" ht="13" x14ac:dyDescent="0.15">
      <c r="D46" s="78"/>
    </row>
    <row r="47" spans="3:11" ht="13" x14ac:dyDescent="0.15">
      <c r="D47" s="78"/>
    </row>
    <row r="48" spans="3:11" ht="13" x14ac:dyDescent="0.15">
      <c r="C48" s="94"/>
      <c r="D48" s="78"/>
    </row>
    <row r="49" spans="3:4" ht="13" x14ac:dyDescent="0.15">
      <c r="C49" s="94"/>
      <c r="D49" s="78"/>
    </row>
    <row r="50" spans="3:4" ht="13" x14ac:dyDescent="0.15">
      <c r="C50" s="94"/>
      <c r="D50" s="78"/>
    </row>
    <row r="51" spans="3:4" ht="13" x14ac:dyDescent="0.15">
      <c r="C51" s="94"/>
      <c r="D51" s="78"/>
    </row>
    <row r="52" spans="3:4" ht="13" x14ac:dyDescent="0.15">
      <c r="C52" s="94"/>
      <c r="D52" s="78"/>
    </row>
    <row r="53" spans="3:4" ht="13" x14ac:dyDescent="0.15">
      <c r="C53" s="94"/>
      <c r="D53" s="78"/>
    </row>
    <row r="54" spans="3:4" ht="13" x14ac:dyDescent="0.15">
      <c r="C54" s="94"/>
      <c r="D54" s="78"/>
    </row>
    <row r="55" spans="3:4" ht="13" x14ac:dyDescent="0.15">
      <c r="C55" s="94"/>
      <c r="D55" s="78"/>
    </row>
  </sheetData>
  <mergeCells count="3">
    <mergeCell ref="F2:I2"/>
    <mergeCell ref="H15:K15"/>
    <mergeCell ref="E40:F4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21"/>
  <sheetViews>
    <sheetView workbookViewId="0">
      <selection activeCell="A10" sqref="A10"/>
    </sheetView>
  </sheetViews>
  <sheetFormatPr baseColWidth="10" defaultColWidth="12.6640625" defaultRowHeight="15.75" customHeight="1" x14ac:dyDescent="0.15"/>
  <cols>
    <col min="1" max="1" width="39.33203125" customWidth="1"/>
    <col min="3" max="3" width="13.6640625" customWidth="1"/>
    <col min="4" max="4" width="13.5" customWidth="1"/>
    <col min="5" max="5" width="14.1640625" customWidth="1"/>
    <col min="6" max="6" width="13.83203125" customWidth="1"/>
    <col min="7" max="7" width="16.5" customWidth="1"/>
  </cols>
  <sheetData>
    <row r="1" spans="1:9" ht="15.75" customHeight="1" x14ac:dyDescent="0.2">
      <c r="A1" s="113" t="s">
        <v>376</v>
      </c>
      <c r="B1" s="6"/>
      <c r="C1" s="6" t="s">
        <v>377</v>
      </c>
      <c r="D1" s="6" t="s">
        <v>79</v>
      </c>
      <c r="E1" s="6" t="s">
        <v>80</v>
      </c>
      <c r="F1" s="6" t="s">
        <v>81</v>
      </c>
      <c r="G1" s="6" t="s">
        <v>82</v>
      </c>
      <c r="H1" s="6"/>
      <c r="I1" s="6"/>
    </row>
    <row r="2" spans="1:9" ht="15.75" customHeight="1" x14ac:dyDescent="0.2">
      <c r="A2" s="114" t="s">
        <v>378</v>
      </c>
      <c r="B2" s="6"/>
      <c r="C2" s="6"/>
      <c r="D2" s="6"/>
      <c r="E2" s="6"/>
      <c r="F2" s="6"/>
      <c r="G2" s="6"/>
      <c r="H2" s="6"/>
      <c r="I2" s="6"/>
    </row>
    <row r="3" spans="1:9" ht="15.75" customHeight="1" x14ac:dyDescent="0.2">
      <c r="A3" s="114" t="s">
        <v>379</v>
      </c>
      <c r="B3" s="6"/>
      <c r="C3" s="6"/>
      <c r="D3" s="6"/>
      <c r="E3" s="6"/>
      <c r="F3" s="6"/>
      <c r="G3" s="6"/>
      <c r="H3" s="6"/>
      <c r="I3" s="6"/>
    </row>
    <row r="4" spans="1:9" ht="15.75" customHeight="1" x14ac:dyDescent="0.2">
      <c r="A4" s="6" t="s">
        <v>380</v>
      </c>
      <c r="B4" s="115">
        <f>'19. WorkSheet-Revenue Produ'!G5</f>
        <v>0.01</v>
      </c>
      <c r="C4" s="6"/>
      <c r="D4" s="6"/>
      <c r="E4" s="6"/>
      <c r="F4" s="6"/>
      <c r="G4" s="6"/>
      <c r="H4" s="6"/>
      <c r="I4" s="6"/>
    </row>
    <row r="5" spans="1:9" ht="15.75" customHeight="1" x14ac:dyDescent="0.2">
      <c r="A5" s="6" t="s">
        <v>381</v>
      </c>
      <c r="B5" s="115">
        <f>'19. WorkSheet-Revenue Produ'!G6</f>
        <v>5.0000000000000001E-3</v>
      </c>
      <c r="C5" s="6"/>
      <c r="D5" s="6"/>
      <c r="E5" s="6"/>
      <c r="F5" s="6"/>
      <c r="G5" s="6"/>
      <c r="H5" s="6"/>
      <c r="I5" s="6"/>
    </row>
    <row r="6" spans="1:9" ht="15.75" customHeight="1" x14ac:dyDescent="0.2">
      <c r="A6" s="6"/>
      <c r="B6" s="6"/>
      <c r="C6" s="6"/>
      <c r="D6" s="6"/>
      <c r="E6" s="6"/>
      <c r="F6" s="6"/>
      <c r="G6" s="6"/>
      <c r="H6" s="6"/>
      <c r="I6" s="6"/>
    </row>
    <row r="7" spans="1:9" ht="15.75" customHeight="1" x14ac:dyDescent="0.2">
      <c r="A7" s="6"/>
      <c r="B7" s="6"/>
      <c r="C7" s="6"/>
      <c r="D7" s="6"/>
      <c r="E7" s="6"/>
      <c r="F7" s="6"/>
      <c r="G7" s="6"/>
      <c r="H7" s="6"/>
      <c r="I7" s="6"/>
    </row>
    <row r="8" spans="1:9" ht="15.75" customHeight="1" x14ac:dyDescent="0.2">
      <c r="A8" s="6" t="s">
        <v>382</v>
      </c>
      <c r="B8" s="6"/>
      <c r="C8" s="116">
        <f>'17. Worksheet Mareting Costs to'!E18</f>
        <v>53.475935828877006</v>
      </c>
      <c r="D8" s="116">
        <f>'17. Worksheet Mareting Costs to'!F18</f>
        <v>106.95187165775401</v>
      </c>
      <c r="E8" s="116">
        <f>'17. Worksheet Mareting Costs to'!G18</f>
        <v>160.42780748663102</v>
      </c>
      <c r="F8" s="116">
        <f>'17. Worksheet Mareting Costs to'!H18</f>
        <v>320.85561497326205</v>
      </c>
      <c r="G8" s="116">
        <f>'17. Worksheet Mareting Costs to'!I18</f>
        <v>802.13903743315507</v>
      </c>
      <c r="H8" s="6"/>
      <c r="I8" s="114" t="s">
        <v>383</v>
      </c>
    </row>
    <row r="9" spans="1:9" ht="15.75" customHeight="1" x14ac:dyDescent="0.2">
      <c r="A9" s="6"/>
      <c r="B9" s="6"/>
      <c r="C9" s="6"/>
      <c r="D9" s="6"/>
      <c r="E9" s="6"/>
      <c r="F9" s="6"/>
      <c r="G9" s="6"/>
      <c r="H9" s="6"/>
      <c r="I9" s="6"/>
    </row>
    <row r="10" spans="1:9" ht="15.75" customHeight="1" x14ac:dyDescent="0.2">
      <c r="A10" s="6" t="s">
        <v>384</v>
      </c>
      <c r="B10" s="6"/>
      <c r="C10" s="117">
        <v>3000000</v>
      </c>
      <c r="D10" s="117">
        <v>3000000</v>
      </c>
      <c r="E10" s="117">
        <v>3000000</v>
      </c>
      <c r="F10" s="117">
        <v>3000000</v>
      </c>
      <c r="G10" s="117">
        <v>3000000</v>
      </c>
      <c r="H10" s="6"/>
      <c r="I10" s="6"/>
    </row>
    <row r="11" spans="1:9" ht="15.75" customHeight="1" x14ac:dyDescent="0.2">
      <c r="A11" s="6"/>
      <c r="B11" s="6"/>
      <c r="C11" s="118"/>
      <c r="D11" s="118"/>
      <c r="E11" s="118"/>
      <c r="F11" s="118"/>
      <c r="G11" s="118"/>
      <c r="H11" s="6"/>
      <c r="I11" s="6"/>
    </row>
    <row r="12" spans="1:9" ht="15.75" customHeight="1" x14ac:dyDescent="0.2">
      <c r="A12" s="6" t="s">
        <v>385</v>
      </c>
      <c r="B12" s="6"/>
      <c r="C12" s="119">
        <f t="shared" ref="C12:G12" si="0">SUM(C10*C8)</f>
        <v>160427807.48663101</v>
      </c>
      <c r="D12" s="119">
        <f t="shared" si="0"/>
        <v>320855614.97326201</v>
      </c>
      <c r="E12" s="119">
        <f t="shared" si="0"/>
        <v>481283422.45989305</v>
      </c>
      <c r="F12" s="119">
        <f t="shared" si="0"/>
        <v>962566844.9197861</v>
      </c>
      <c r="G12" s="119">
        <f t="shared" si="0"/>
        <v>2406417112.2994652</v>
      </c>
      <c r="H12" s="6"/>
      <c r="I12" s="114" t="s">
        <v>386</v>
      </c>
    </row>
    <row r="13" spans="1:9" ht="15.75" customHeight="1" x14ac:dyDescent="0.2">
      <c r="A13" s="6"/>
      <c r="B13" s="6"/>
      <c r="C13" s="118"/>
      <c r="D13" s="118"/>
      <c r="E13" s="118"/>
      <c r="F13" s="118"/>
      <c r="G13" s="118"/>
      <c r="H13" s="6"/>
      <c r="I13" s="6"/>
    </row>
    <row r="14" spans="1:9" ht="15.75" customHeight="1" x14ac:dyDescent="0.2">
      <c r="A14" s="114" t="s">
        <v>387</v>
      </c>
      <c r="B14" s="6"/>
      <c r="C14" s="118"/>
      <c r="D14" s="118"/>
      <c r="E14" s="118"/>
      <c r="F14" s="118"/>
      <c r="G14" s="118"/>
      <c r="H14" s="6"/>
      <c r="I14" s="6"/>
    </row>
    <row r="15" spans="1:9" ht="15.75" customHeight="1" x14ac:dyDescent="0.2">
      <c r="A15" s="6" t="s">
        <v>388</v>
      </c>
      <c r="B15" s="6"/>
      <c r="C15" s="119">
        <f>C12*'19. WorkSheet-Revenue Produ'!J33</f>
        <v>1365664.1711229945</v>
      </c>
      <c r="D15" s="119">
        <f>D12*'19. WorkSheet-Revenue Produ'!J33</f>
        <v>2731328.342245989</v>
      </c>
      <c r="E15" s="119">
        <f>E12*'19. WorkSheet-Revenue Produ'!J33</f>
        <v>4096992.5133689842</v>
      </c>
      <c r="F15" s="119">
        <f>F12*'19. WorkSheet-Revenue Produ'!J33</f>
        <v>8193985.0267379684</v>
      </c>
      <c r="G15" s="119">
        <f>G12*'19. WorkSheet-Revenue Produ'!J33</f>
        <v>20484962.566844918</v>
      </c>
      <c r="H15" s="120" t="s">
        <v>389</v>
      </c>
      <c r="I15" s="114" t="s">
        <v>390</v>
      </c>
    </row>
    <row r="16" spans="1:9" ht="15.75" customHeight="1" x14ac:dyDescent="0.2">
      <c r="A16" s="6" t="s">
        <v>391</v>
      </c>
      <c r="B16" s="6"/>
      <c r="C16" s="119"/>
      <c r="D16" s="119">
        <f>C12*'19. WorkSheet-Revenue Produ'!J34</f>
        <v>260021.39037433153</v>
      </c>
      <c r="E16" s="118">
        <f>(C12+D12)*'19. WorkSheet-Revenue Produ'!J34</f>
        <v>780064.17112299451</v>
      </c>
      <c r="F16" s="119">
        <f>(E12+D12+C12)*'19. WorkSheet-Revenue Produ'!J34</f>
        <v>1560128.3422459892</v>
      </c>
      <c r="G16" s="119">
        <f>(F12+E12+D12+C12)*'19. WorkSheet-Revenue Produ'!J34</f>
        <v>3120256.6844919785</v>
      </c>
      <c r="H16" s="120" t="s">
        <v>389</v>
      </c>
      <c r="I16" s="114" t="s">
        <v>392</v>
      </c>
    </row>
    <row r="17" spans="1:9" ht="15.75" customHeight="1" x14ac:dyDescent="0.2">
      <c r="A17" s="114"/>
      <c r="B17" s="6"/>
      <c r="C17" s="118"/>
      <c r="D17" s="118"/>
      <c r="E17" s="121"/>
      <c r="F17" s="118"/>
      <c r="G17" s="118"/>
      <c r="H17" s="6"/>
      <c r="I17" s="6"/>
    </row>
    <row r="18" spans="1:9" ht="15.75" customHeight="1" x14ac:dyDescent="0.2">
      <c r="A18" s="6"/>
      <c r="B18" s="6"/>
      <c r="C18" s="118"/>
      <c r="D18" s="118"/>
      <c r="F18" s="118"/>
      <c r="G18" s="118"/>
      <c r="H18" s="6"/>
      <c r="I18" s="6"/>
    </row>
    <row r="19" spans="1:9" ht="15.75" customHeight="1" x14ac:dyDescent="0.2">
      <c r="A19" s="6"/>
      <c r="B19" s="6"/>
      <c r="C19" s="118"/>
      <c r="D19" s="118"/>
      <c r="F19" s="118"/>
      <c r="G19" s="118"/>
      <c r="H19" s="6"/>
      <c r="I19" s="6"/>
    </row>
    <row r="20" spans="1:9" ht="15.75" customHeight="1" x14ac:dyDescent="0.2">
      <c r="A20" s="122" t="s">
        <v>393</v>
      </c>
      <c r="B20" s="6"/>
      <c r="C20" s="123">
        <f>SUM(C15:C19)</f>
        <v>1365664.1711229945</v>
      </c>
      <c r="D20" s="123">
        <f t="shared" ref="D20:E20" si="1">D15+D17</f>
        <v>2731328.342245989</v>
      </c>
      <c r="E20" s="123">
        <f t="shared" si="1"/>
        <v>4096992.5133689842</v>
      </c>
      <c r="F20" s="123">
        <f t="shared" ref="F20:G20" si="2">SUM(F15:F19)</f>
        <v>9754113.3689839579</v>
      </c>
      <c r="G20" s="123">
        <f t="shared" si="2"/>
        <v>23605219.251336895</v>
      </c>
      <c r="H20" s="6"/>
      <c r="I20" s="6"/>
    </row>
    <row r="21" spans="1:9" ht="15.75" customHeight="1" x14ac:dyDescent="0.2">
      <c r="A21" s="6"/>
      <c r="B21" s="6"/>
      <c r="C21" s="6"/>
      <c r="D21" s="6"/>
      <c r="E21" s="6"/>
      <c r="F21" s="6"/>
      <c r="G21" s="6"/>
      <c r="H21" s="6"/>
      <c r="I21" s="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L33"/>
  <sheetViews>
    <sheetView workbookViewId="0"/>
  </sheetViews>
  <sheetFormatPr baseColWidth="10" defaultColWidth="12.6640625" defaultRowHeight="15.75" customHeight="1" x14ac:dyDescent="0.15"/>
  <cols>
    <col min="1" max="1" width="28.33203125" customWidth="1"/>
    <col min="3" max="3" width="25.6640625" customWidth="1"/>
    <col min="4" max="4" width="16.1640625" customWidth="1"/>
    <col min="5" max="5" width="15.83203125" customWidth="1"/>
    <col min="6" max="6" width="17.33203125" customWidth="1"/>
    <col min="7" max="7" width="16.6640625" customWidth="1"/>
    <col min="9" max="9" width="15.1640625" customWidth="1"/>
    <col min="11" max="11" width="15.6640625" customWidth="1"/>
  </cols>
  <sheetData>
    <row r="1" spans="1:12" ht="15.75" customHeight="1" x14ac:dyDescent="0.2">
      <c r="A1" s="114" t="s">
        <v>394</v>
      </c>
      <c r="B1" s="6"/>
      <c r="C1" s="6"/>
      <c r="D1" s="6" t="s">
        <v>395</v>
      </c>
      <c r="E1" s="6" t="s">
        <v>396</v>
      </c>
      <c r="F1" s="6" t="s">
        <v>397</v>
      </c>
      <c r="G1" s="6"/>
      <c r="H1" s="6"/>
      <c r="I1" s="6"/>
      <c r="J1" s="6"/>
      <c r="K1" s="6"/>
      <c r="L1" s="6"/>
    </row>
    <row r="2" spans="1:12" ht="15.75" customHeight="1" x14ac:dyDescent="0.2">
      <c r="A2" s="6"/>
      <c r="B2" s="6"/>
      <c r="C2" s="6"/>
      <c r="D2" s="6"/>
      <c r="E2" s="6"/>
      <c r="F2" s="6"/>
      <c r="G2" s="6"/>
      <c r="H2" s="6"/>
      <c r="I2" s="6"/>
      <c r="J2" s="6"/>
      <c r="K2" s="6"/>
      <c r="L2" s="6"/>
    </row>
    <row r="3" spans="1:12" ht="15.75" customHeight="1" x14ac:dyDescent="0.2">
      <c r="A3" s="114" t="s">
        <v>398</v>
      </c>
      <c r="B3" s="6"/>
      <c r="C3" s="6"/>
      <c r="D3" s="124">
        <v>3000000</v>
      </c>
      <c r="E3" s="125">
        <v>3000000</v>
      </c>
      <c r="F3" s="124">
        <v>3000000</v>
      </c>
      <c r="G3" s="6"/>
      <c r="H3" s="114" t="s">
        <v>399</v>
      </c>
      <c r="I3" s="6"/>
      <c r="J3" s="6"/>
      <c r="K3" s="6"/>
      <c r="L3" s="6"/>
    </row>
    <row r="4" spans="1:12" ht="15.75" customHeight="1" x14ac:dyDescent="0.2">
      <c r="A4" s="6"/>
      <c r="B4" s="6"/>
      <c r="C4" s="6"/>
      <c r="D4" s="6"/>
      <c r="E4" s="6"/>
      <c r="F4" s="6"/>
      <c r="G4" s="6"/>
      <c r="H4" s="6"/>
      <c r="I4" s="6"/>
      <c r="J4" s="6"/>
      <c r="K4" s="6"/>
      <c r="L4" s="6"/>
    </row>
    <row r="5" spans="1:12" ht="15.75" customHeight="1" x14ac:dyDescent="0.2">
      <c r="A5" s="114" t="s">
        <v>400</v>
      </c>
      <c r="B5" s="6"/>
      <c r="C5" s="6"/>
      <c r="D5" s="126">
        <v>5.0000000000000001E-3</v>
      </c>
      <c r="E5" s="126">
        <v>7.4999999999999997E-3</v>
      </c>
      <c r="F5" s="126">
        <v>0.01</v>
      </c>
      <c r="G5" s="6"/>
      <c r="H5" s="6"/>
      <c r="I5" s="6"/>
      <c r="J5" s="6"/>
      <c r="K5" s="6"/>
      <c r="L5" s="6"/>
    </row>
    <row r="6" spans="1:12" ht="15.75" customHeight="1" x14ac:dyDescent="0.2">
      <c r="A6" s="6"/>
      <c r="B6" s="6"/>
      <c r="C6" s="6"/>
      <c r="D6" s="127"/>
      <c r="E6" s="127"/>
      <c r="F6" s="127"/>
      <c r="G6" s="6"/>
      <c r="H6" s="6"/>
      <c r="I6" s="6"/>
      <c r="J6" s="6"/>
      <c r="K6" s="6"/>
      <c r="L6" s="6"/>
    </row>
    <row r="7" spans="1:12" ht="15.75" customHeight="1" x14ac:dyDescent="0.2">
      <c r="A7" s="114" t="s">
        <v>401</v>
      </c>
      <c r="B7" s="6"/>
      <c r="C7" s="6"/>
      <c r="D7" s="125">
        <f t="shared" ref="D7:F7" si="0">SUM(D3*D5)</f>
        <v>15000</v>
      </c>
      <c r="E7" s="125">
        <f t="shared" si="0"/>
        <v>22500</v>
      </c>
      <c r="F7" s="125">
        <f t="shared" si="0"/>
        <v>30000</v>
      </c>
      <c r="G7" s="6"/>
      <c r="H7" s="6"/>
      <c r="I7" s="6"/>
      <c r="J7" s="6"/>
      <c r="K7" s="6"/>
      <c r="L7" s="6"/>
    </row>
    <row r="8" spans="1:12" ht="15.75" customHeight="1" x14ac:dyDescent="0.2">
      <c r="A8" s="6"/>
      <c r="B8" s="6"/>
      <c r="C8" s="6"/>
      <c r="D8" s="127"/>
      <c r="E8" s="127"/>
      <c r="F8" s="127"/>
      <c r="G8" s="6"/>
      <c r="H8" s="6"/>
      <c r="I8" s="6"/>
      <c r="J8" s="6"/>
      <c r="K8" s="6"/>
      <c r="L8" s="6"/>
    </row>
    <row r="9" spans="1:12" ht="15.75" customHeight="1" x14ac:dyDescent="0.2">
      <c r="A9" s="114" t="s">
        <v>402</v>
      </c>
      <c r="B9" s="6"/>
      <c r="C9" s="6"/>
      <c r="D9" s="125">
        <f>'18. AI and Investment COGS'!D3+'18. AI and Investment COGS'!D4</f>
        <v>1557</v>
      </c>
      <c r="E9" s="125">
        <f>'18. AI and Investment COGS'!G3+'18. AI and Investment COGS'!G4</f>
        <v>3340</v>
      </c>
      <c r="F9" s="125">
        <f>'18. AI and Investment COGS'!J3+'18. AI and Investment COGS'!J4</f>
        <v>7800</v>
      </c>
      <c r="G9" s="6"/>
      <c r="H9" s="6" t="s">
        <v>403</v>
      </c>
      <c r="I9" s="6"/>
      <c r="J9" s="6"/>
      <c r="K9" s="6"/>
      <c r="L9" s="6"/>
    </row>
    <row r="10" spans="1:12" ht="15.75" customHeight="1" x14ac:dyDescent="0.2">
      <c r="A10" s="6"/>
      <c r="B10" s="6"/>
      <c r="C10" s="6"/>
      <c r="D10" s="6"/>
      <c r="E10" s="6"/>
      <c r="F10" s="6"/>
      <c r="G10" s="6"/>
      <c r="H10" s="6"/>
      <c r="I10" s="6"/>
      <c r="J10" s="6"/>
      <c r="K10" s="6"/>
      <c r="L10" s="6"/>
    </row>
    <row r="11" spans="1:12" ht="15.75" customHeight="1" x14ac:dyDescent="0.2">
      <c r="A11" s="114" t="s">
        <v>404</v>
      </c>
      <c r="B11" s="128">
        <v>0.2</v>
      </c>
      <c r="C11" s="6"/>
      <c r="D11" s="129">
        <f>(D7-D9)*B11</f>
        <v>2688.6000000000004</v>
      </c>
      <c r="E11" s="129">
        <f>(E7-E9)*B11</f>
        <v>3832</v>
      </c>
      <c r="F11" s="129">
        <f>(F7-F9)*B11</f>
        <v>4440</v>
      </c>
      <c r="G11" s="6"/>
      <c r="H11" s="6"/>
      <c r="I11" s="6"/>
      <c r="J11" s="6"/>
      <c r="K11" s="6"/>
      <c r="L11" s="6"/>
    </row>
    <row r="12" spans="1:12" ht="15.75" customHeight="1" x14ac:dyDescent="0.2">
      <c r="A12" s="6"/>
      <c r="B12" s="6"/>
      <c r="C12" s="6"/>
      <c r="D12" s="6"/>
      <c r="E12" s="6"/>
      <c r="F12" s="6"/>
      <c r="G12" s="6"/>
      <c r="H12" s="6"/>
      <c r="I12" s="6"/>
      <c r="J12" s="6"/>
      <c r="K12" s="6"/>
      <c r="L12" s="6"/>
    </row>
    <row r="13" spans="1:12" ht="15.75" customHeight="1" x14ac:dyDescent="0.2">
      <c r="A13" s="122" t="s">
        <v>405</v>
      </c>
      <c r="B13" s="6"/>
      <c r="C13" s="6"/>
      <c r="D13" s="130">
        <f t="shared" ref="D13:F13" si="1">SUM(D7-D9-D11)</f>
        <v>10754.4</v>
      </c>
      <c r="E13" s="130">
        <f t="shared" si="1"/>
        <v>15328</v>
      </c>
      <c r="F13" s="130">
        <f t="shared" si="1"/>
        <v>17760</v>
      </c>
      <c r="G13" s="6"/>
      <c r="H13" s="6"/>
      <c r="I13" s="6"/>
      <c r="J13" s="6"/>
      <c r="K13" s="6"/>
      <c r="L13" s="6"/>
    </row>
    <row r="14" spans="1:12" ht="15.75" customHeight="1" x14ac:dyDescent="0.2">
      <c r="A14" s="6"/>
      <c r="B14" s="6"/>
      <c r="C14" s="6"/>
      <c r="D14" s="6"/>
      <c r="E14" s="6"/>
      <c r="F14" s="6"/>
      <c r="G14" s="6"/>
      <c r="H14" s="6"/>
      <c r="I14" s="6"/>
      <c r="J14" s="6"/>
      <c r="K14" s="6"/>
      <c r="L14" s="6"/>
    </row>
    <row r="15" spans="1:12" ht="15.75" customHeight="1" x14ac:dyDescent="0.2">
      <c r="A15" s="114" t="s">
        <v>406</v>
      </c>
      <c r="B15" s="6"/>
      <c r="C15" s="6"/>
      <c r="D15" s="6"/>
      <c r="E15" s="6"/>
      <c r="F15" s="6"/>
      <c r="G15" s="6"/>
      <c r="H15" s="6"/>
      <c r="I15" s="6"/>
      <c r="J15" s="6"/>
      <c r="K15" s="6"/>
      <c r="L15" s="6"/>
    </row>
    <row r="16" spans="1:12" ht="15.75" customHeight="1" x14ac:dyDescent="0.2">
      <c r="A16" s="6"/>
      <c r="B16" s="6"/>
      <c r="C16" s="6"/>
      <c r="D16" s="6"/>
      <c r="E16" s="6"/>
      <c r="F16" s="6"/>
      <c r="G16" s="6"/>
      <c r="H16" s="6"/>
      <c r="I16" s="6"/>
      <c r="J16" s="6"/>
      <c r="K16" s="6"/>
      <c r="L16" s="6"/>
    </row>
    <row r="17" spans="1:12" ht="15.75" customHeight="1" x14ac:dyDescent="0.2">
      <c r="A17" s="6" t="s">
        <v>407</v>
      </c>
      <c r="B17" s="221" t="s">
        <v>377</v>
      </c>
      <c r="C17" s="201"/>
      <c r="D17" s="221" t="s">
        <v>79</v>
      </c>
      <c r="E17" s="201"/>
      <c r="F17" s="221" t="s">
        <v>80</v>
      </c>
      <c r="G17" s="201"/>
      <c r="H17" s="221" t="s">
        <v>81</v>
      </c>
      <c r="I17" s="201"/>
      <c r="J17" s="221" t="s">
        <v>82</v>
      </c>
      <c r="K17" s="201"/>
      <c r="L17" s="6"/>
    </row>
    <row r="18" spans="1:12" ht="15.75" customHeight="1" x14ac:dyDescent="0.2">
      <c r="A18" s="6"/>
      <c r="B18" s="6"/>
      <c r="C18" s="6"/>
      <c r="D18" s="6"/>
      <c r="E18" s="6"/>
      <c r="F18" s="6"/>
      <c r="G18" s="6"/>
      <c r="H18" s="6"/>
      <c r="I18" s="6"/>
      <c r="J18" s="6"/>
      <c r="K18" s="6"/>
      <c r="L18" s="6"/>
    </row>
    <row r="19" spans="1:12" ht="15.75" customHeight="1" x14ac:dyDescent="0.2">
      <c r="A19" s="114" t="s">
        <v>408</v>
      </c>
      <c r="B19" s="6"/>
      <c r="C19" s="6"/>
      <c r="D19" s="6"/>
      <c r="E19" s="6"/>
      <c r="F19" s="6"/>
      <c r="G19" s="6"/>
      <c r="H19" s="6"/>
      <c r="I19" s="6"/>
      <c r="J19" s="6"/>
      <c r="K19" s="6"/>
      <c r="L19" s="6"/>
    </row>
    <row r="20" spans="1:12" ht="15.75" customHeight="1" x14ac:dyDescent="0.2">
      <c r="A20" s="6" t="s">
        <v>395</v>
      </c>
      <c r="B20" s="116">
        <f>'17. Worksheet Mareting Costs to'!E14/3</f>
        <v>68.352059925093627</v>
      </c>
      <c r="C20" s="6"/>
      <c r="D20" s="116">
        <f>'17. Worksheet Mareting Costs to'!F14/3</f>
        <v>140.44943820224719</v>
      </c>
      <c r="E20" s="6"/>
      <c r="F20" s="116">
        <f>'17. Worksheet Mareting Costs to'!G14/3</f>
        <v>280.89887640449439</v>
      </c>
      <c r="G20" s="6"/>
      <c r="H20" s="116">
        <f>'17. Worksheet Mareting Costs to'!H14/3</f>
        <v>561.79775280898878</v>
      </c>
      <c r="I20" s="6"/>
      <c r="J20" s="116">
        <f>'17. Worksheet Mareting Costs to'!I14/3</f>
        <v>936.32958801498125</v>
      </c>
      <c r="K20" s="6"/>
      <c r="L20" s="114" t="s">
        <v>409</v>
      </c>
    </row>
    <row r="21" spans="1:12" ht="15.75" customHeight="1" x14ac:dyDescent="0.2">
      <c r="A21" s="6" t="s">
        <v>410</v>
      </c>
      <c r="B21" s="132"/>
      <c r="C21" s="119">
        <f>SUM(B20*D13)</f>
        <v>735085.39325842692</v>
      </c>
      <c r="D21" s="132"/>
      <c r="E21" s="125">
        <f>SUM(D20*D13)</f>
        <v>1510449.4382022473</v>
      </c>
      <c r="F21" s="132"/>
      <c r="G21" s="125">
        <f>SUM(F20*D13)</f>
        <v>3020898.8764044945</v>
      </c>
      <c r="H21" s="132"/>
      <c r="I21" s="125">
        <f>SUM(H20*D13)</f>
        <v>6041797.752808989</v>
      </c>
      <c r="J21" s="132"/>
      <c r="K21" s="125">
        <f>SUM(J20*D13)</f>
        <v>10069662.921348315</v>
      </c>
      <c r="L21" s="6"/>
    </row>
    <row r="22" spans="1:12" ht="15.75" customHeight="1" x14ac:dyDescent="0.2">
      <c r="A22" s="6" t="s">
        <v>396</v>
      </c>
      <c r="B22" s="116">
        <f>'17. Worksheet Mareting Costs to'!E14/3</f>
        <v>68.352059925093627</v>
      </c>
      <c r="C22" s="6"/>
      <c r="D22" s="116">
        <f>D20</f>
        <v>140.44943820224719</v>
      </c>
      <c r="E22" s="6"/>
      <c r="F22" s="116">
        <f>F20</f>
        <v>280.89887640449439</v>
      </c>
      <c r="G22" s="6"/>
      <c r="H22" s="116">
        <f>H20</f>
        <v>561.79775280898878</v>
      </c>
      <c r="I22" s="6"/>
      <c r="J22" s="116">
        <f>J20</f>
        <v>936.32958801498125</v>
      </c>
      <c r="K22" s="6"/>
      <c r="L22" s="6"/>
    </row>
    <row r="23" spans="1:12" ht="15.75" customHeight="1" x14ac:dyDescent="0.2">
      <c r="A23" s="6" t="s">
        <v>410</v>
      </c>
      <c r="B23" s="132"/>
      <c r="C23" s="119">
        <f>SUM(B22*E13)</f>
        <v>1047700.3745318351</v>
      </c>
      <c r="D23" s="132"/>
      <c r="E23" s="125">
        <f>SUM(D22*E13)</f>
        <v>2152808.9887640448</v>
      </c>
      <c r="F23" s="132"/>
      <c r="G23" s="125">
        <f>SUM(F22*E13)</f>
        <v>4305617.9775280897</v>
      </c>
      <c r="H23" s="132"/>
      <c r="I23" s="125">
        <f>SUM(H22*E13)</f>
        <v>8611235.9550561793</v>
      </c>
      <c r="J23" s="132"/>
      <c r="K23" s="125">
        <f>SUM(J22*E13)</f>
        <v>14352059.925093632</v>
      </c>
      <c r="L23" s="6"/>
    </row>
    <row r="24" spans="1:12" ht="15.75" customHeight="1" x14ac:dyDescent="0.2">
      <c r="A24" s="6" t="s">
        <v>397</v>
      </c>
      <c r="B24" s="116">
        <f>B20</f>
        <v>68.352059925093627</v>
      </c>
      <c r="C24" s="6"/>
      <c r="D24" s="116">
        <f>D20</f>
        <v>140.44943820224719</v>
      </c>
      <c r="E24" s="6"/>
      <c r="F24" s="116">
        <f>F20</f>
        <v>280.89887640449439</v>
      </c>
      <c r="G24" s="6"/>
      <c r="H24" s="116">
        <f>H20</f>
        <v>561.79775280898878</v>
      </c>
      <c r="I24" s="6"/>
      <c r="J24" s="116">
        <f>J20</f>
        <v>936.32958801498125</v>
      </c>
      <c r="K24" s="6"/>
      <c r="L24" s="6"/>
    </row>
    <row r="25" spans="1:12" ht="15.75" customHeight="1" x14ac:dyDescent="0.2">
      <c r="A25" s="6" t="s">
        <v>410</v>
      </c>
      <c r="B25" s="132"/>
      <c r="C25" s="119">
        <f>SUM(B24*F13)</f>
        <v>1213932.5842696629</v>
      </c>
      <c r="D25" s="132"/>
      <c r="E25" s="125">
        <f>SUM(D24*F13)</f>
        <v>2494382.0224719103</v>
      </c>
      <c r="F25" s="6"/>
      <c r="G25" s="125">
        <f>SUM(F24*F13)</f>
        <v>4988764.0449438207</v>
      </c>
      <c r="H25" s="132"/>
      <c r="I25" s="125">
        <f>SUM(H24*F13)</f>
        <v>9977528.0898876414</v>
      </c>
      <c r="J25" s="132"/>
      <c r="K25" s="125">
        <f>SUM(J24*F13)</f>
        <v>16629213.483146068</v>
      </c>
      <c r="L25" s="6"/>
    </row>
    <row r="26" spans="1:12" ht="15.75" customHeight="1" x14ac:dyDescent="0.2">
      <c r="A26" s="6" t="s">
        <v>410</v>
      </c>
      <c r="B26" s="6"/>
      <c r="C26" s="133"/>
      <c r="D26" s="6"/>
      <c r="E26" s="6"/>
      <c r="F26" s="6"/>
      <c r="G26" s="6"/>
      <c r="H26" s="132"/>
      <c r="I26" s="6"/>
      <c r="J26" s="132"/>
      <c r="K26" s="6"/>
      <c r="L26" s="6"/>
    </row>
    <row r="27" spans="1:12" ht="15.75" customHeight="1" x14ac:dyDescent="0.2">
      <c r="A27" s="6"/>
      <c r="B27" s="6"/>
      <c r="C27" s="6"/>
      <c r="D27" s="6"/>
      <c r="E27" s="6"/>
      <c r="F27" s="6"/>
      <c r="G27" s="6"/>
      <c r="H27" s="6"/>
      <c r="I27" s="6"/>
      <c r="J27" s="6"/>
      <c r="K27" s="6"/>
      <c r="L27" s="6"/>
    </row>
    <row r="28" spans="1:12" ht="15.75" customHeight="1" x14ac:dyDescent="0.2">
      <c r="A28" s="122" t="s">
        <v>368</v>
      </c>
      <c r="B28" s="6"/>
      <c r="C28" s="123">
        <f>SUM(C21:C27)</f>
        <v>2996718.352059925</v>
      </c>
      <c r="D28" s="6"/>
      <c r="E28" s="130">
        <f>SUM(E21:E27)</f>
        <v>6157640.4494382022</v>
      </c>
      <c r="F28" s="6"/>
      <c r="G28" s="130">
        <f>SUM(G21:G27)</f>
        <v>12315280.898876404</v>
      </c>
      <c r="H28" s="6"/>
      <c r="I28" s="130">
        <f>SUM(I21:I27)</f>
        <v>24630561.797752809</v>
      </c>
      <c r="J28" s="6"/>
      <c r="K28" s="130">
        <f>SUM(K21:K27)</f>
        <v>41050936.329588011</v>
      </c>
      <c r="L28" s="6"/>
    </row>
    <row r="29" spans="1:12" ht="15.75" customHeight="1" x14ac:dyDescent="0.2">
      <c r="A29" s="6"/>
      <c r="B29" s="6"/>
      <c r="C29" s="6"/>
      <c r="D29" s="6"/>
      <c r="E29" s="6"/>
      <c r="F29" s="6"/>
      <c r="G29" s="6"/>
      <c r="H29" s="6"/>
      <c r="I29" s="6"/>
      <c r="J29" s="6"/>
      <c r="K29" s="6"/>
      <c r="L29" s="6"/>
    </row>
    <row r="30" spans="1:12" ht="16" x14ac:dyDescent="0.2">
      <c r="A30" s="6"/>
      <c r="B30" s="6"/>
      <c r="C30" s="6"/>
      <c r="D30" s="6"/>
      <c r="E30" s="6"/>
      <c r="F30" s="6"/>
      <c r="G30" s="6"/>
      <c r="H30" s="6"/>
      <c r="I30" s="6"/>
      <c r="J30" s="6"/>
      <c r="K30" s="6"/>
      <c r="L30" s="6"/>
    </row>
    <row r="31" spans="1:12" ht="16" x14ac:dyDescent="0.2">
      <c r="A31" s="6" t="s">
        <v>411</v>
      </c>
      <c r="B31" s="6"/>
      <c r="C31" s="6"/>
      <c r="D31" s="6"/>
      <c r="E31" s="6"/>
      <c r="F31" s="6"/>
      <c r="G31" s="6"/>
      <c r="H31" s="6"/>
      <c r="I31" s="6"/>
      <c r="J31" s="6"/>
      <c r="K31" s="6"/>
      <c r="L31" s="6"/>
    </row>
    <row r="32" spans="1:12" ht="16" x14ac:dyDescent="0.2">
      <c r="A32" s="6"/>
      <c r="B32" s="220" t="s">
        <v>412</v>
      </c>
      <c r="C32" s="201"/>
      <c r="D32" s="201"/>
      <c r="E32" s="201"/>
      <c r="F32" s="201"/>
      <c r="G32" s="201"/>
      <c r="H32" s="201"/>
      <c r="I32" s="201"/>
      <c r="J32" s="201"/>
      <c r="K32" s="201"/>
      <c r="L32" s="6"/>
    </row>
    <row r="33" spans="1:12" ht="16" x14ac:dyDescent="0.2">
      <c r="A33" s="6"/>
      <c r="B33" s="201"/>
      <c r="C33" s="201"/>
      <c r="D33" s="201"/>
      <c r="E33" s="201"/>
      <c r="F33" s="201"/>
      <c r="G33" s="201"/>
      <c r="H33" s="201"/>
      <c r="I33" s="201"/>
      <c r="J33" s="201"/>
      <c r="K33" s="201"/>
      <c r="L33" s="6"/>
    </row>
  </sheetData>
  <mergeCells count="6">
    <mergeCell ref="B32:K33"/>
    <mergeCell ref="B17:C17"/>
    <mergeCell ref="D17:E17"/>
    <mergeCell ref="F17:G17"/>
    <mergeCell ref="H17:I17"/>
    <mergeCell ref="J17:K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N17"/>
  <sheetViews>
    <sheetView workbookViewId="0">
      <selection activeCell="C7" sqref="C7"/>
    </sheetView>
  </sheetViews>
  <sheetFormatPr baseColWidth="10" defaultColWidth="12.6640625" defaultRowHeight="15.75" customHeight="1" x14ac:dyDescent="0.15"/>
  <cols>
    <col min="7" max="7" width="28.1640625" customWidth="1"/>
  </cols>
  <sheetData>
    <row r="1" spans="1:14" ht="15.75" customHeight="1" x14ac:dyDescent="0.2">
      <c r="A1" s="6" t="s">
        <v>413</v>
      </c>
      <c r="B1" s="6"/>
      <c r="C1" s="6" t="s">
        <v>395</v>
      </c>
      <c r="D1" s="6" t="s">
        <v>396</v>
      </c>
      <c r="E1" s="6" t="s">
        <v>397</v>
      </c>
      <c r="F1" s="6" t="s">
        <v>414</v>
      </c>
      <c r="G1" s="6" t="s">
        <v>415</v>
      </c>
      <c r="H1" s="6" t="s">
        <v>377</v>
      </c>
      <c r="I1" s="6" t="s">
        <v>79</v>
      </c>
      <c r="J1" s="6" t="s">
        <v>80</v>
      </c>
      <c r="K1" s="6" t="s">
        <v>81</v>
      </c>
      <c r="L1" s="6" t="s">
        <v>82</v>
      </c>
    </row>
    <row r="2" spans="1:14" ht="15.75" customHeight="1" x14ac:dyDescent="0.2">
      <c r="A2" s="6"/>
      <c r="B2" s="6"/>
      <c r="C2" s="6"/>
      <c r="D2" s="6"/>
      <c r="E2" s="6"/>
      <c r="F2" s="6"/>
      <c r="G2" s="6"/>
      <c r="H2" s="6"/>
      <c r="I2" s="6"/>
      <c r="J2" s="6"/>
      <c r="K2" s="6"/>
      <c r="L2" s="6"/>
    </row>
    <row r="3" spans="1:14" ht="15.75" customHeight="1" x14ac:dyDescent="0.2">
      <c r="A3" s="6" t="s">
        <v>239</v>
      </c>
      <c r="B3" s="6"/>
      <c r="C3" s="134">
        <v>9.99</v>
      </c>
      <c r="D3" s="135">
        <v>70</v>
      </c>
      <c r="E3" s="135">
        <v>160</v>
      </c>
      <c r="F3" s="6" t="s">
        <v>416</v>
      </c>
      <c r="G3" s="6" t="s">
        <v>417</v>
      </c>
      <c r="H3" s="136">
        <f>'17. Worksheet Mareting Costs to'!E22</f>
        <v>4424.2424242424249</v>
      </c>
      <c r="I3" s="136">
        <f>'17. Worksheet Mareting Costs to'!F22</f>
        <v>9090.9090909090919</v>
      </c>
      <c r="J3" s="136">
        <f>'17. Worksheet Mareting Costs to'!G22</f>
        <v>18181.818181818184</v>
      </c>
      <c r="K3" s="136">
        <f>'17. Worksheet Mareting Costs to'!H22</f>
        <v>36363.636363636368</v>
      </c>
      <c r="L3" s="136">
        <f>'17. Worksheet Mareting Costs to'!I22</f>
        <v>60606.060606060608</v>
      </c>
      <c r="N3" s="4" t="s">
        <v>418</v>
      </c>
    </row>
    <row r="4" spans="1:14" ht="15.75" customHeight="1" x14ac:dyDescent="0.2">
      <c r="A4" s="6" t="s">
        <v>419</v>
      </c>
      <c r="B4" s="6"/>
      <c r="C4" s="125">
        <f t="shared" ref="C4:E4" si="0">C3*12</f>
        <v>119.88</v>
      </c>
      <c r="D4" s="125">
        <f t="shared" si="0"/>
        <v>840</v>
      </c>
      <c r="E4" s="125">
        <f t="shared" si="0"/>
        <v>1920</v>
      </c>
      <c r="F4" s="6"/>
      <c r="G4" s="122" t="s">
        <v>420</v>
      </c>
      <c r="H4" s="123">
        <f>SUM(H3*E16)</f>
        <v>429505.4545454543</v>
      </c>
      <c r="I4" s="123">
        <f>SUM(I3*E16)</f>
        <v>882545.45454545401</v>
      </c>
      <c r="J4" s="123">
        <f>SUM(J3*E16)</f>
        <v>1765090.909090908</v>
      </c>
      <c r="K4" s="123">
        <f>SUM(K3*E16)</f>
        <v>3530181.818181816</v>
      </c>
      <c r="L4" s="123">
        <f>SUM(L3*E16)</f>
        <v>5883636.3636363596</v>
      </c>
      <c r="N4" s="4" t="s">
        <v>421</v>
      </c>
    </row>
    <row r="5" spans="1:14" ht="15.75" customHeight="1" x14ac:dyDescent="0.2">
      <c r="A5" s="6"/>
      <c r="B5" s="6"/>
      <c r="C5" s="133"/>
      <c r="D5" s="133"/>
      <c r="E5" s="133"/>
      <c r="F5" s="6"/>
      <c r="G5" s="6"/>
      <c r="H5" s="6"/>
      <c r="I5" s="6"/>
      <c r="J5" s="6"/>
      <c r="K5" s="6"/>
      <c r="L5" s="6"/>
    </row>
    <row r="6" spans="1:14" ht="15.75" customHeight="1" x14ac:dyDescent="0.2">
      <c r="A6" s="6" t="s">
        <v>422</v>
      </c>
      <c r="B6" s="6"/>
      <c r="C6" s="133"/>
      <c r="D6" s="133"/>
      <c r="E6" s="133"/>
      <c r="F6" s="6"/>
      <c r="G6" s="6"/>
      <c r="H6" s="6"/>
      <c r="I6" s="6"/>
      <c r="J6" s="6"/>
      <c r="K6" s="6"/>
      <c r="L6" s="6"/>
    </row>
    <row r="7" spans="1:14" ht="15.75" customHeight="1" x14ac:dyDescent="0.2">
      <c r="A7" s="6" t="s">
        <v>423</v>
      </c>
      <c r="B7" s="6"/>
      <c r="C7" s="125">
        <v>7.48</v>
      </c>
      <c r="D7" s="125">
        <v>37</v>
      </c>
      <c r="E7" s="125">
        <v>147.74</v>
      </c>
      <c r="F7" s="6"/>
      <c r="G7" s="114" t="s">
        <v>424</v>
      </c>
      <c r="H7" s="6"/>
      <c r="I7" s="6"/>
      <c r="J7" s="6"/>
      <c r="K7" s="6"/>
      <c r="L7" s="6"/>
    </row>
    <row r="8" spans="1:14" ht="15.75" customHeight="1" x14ac:dyDescent="0.2">
      <c r="A8" s="6" t="s">
        <v>425</v>
      </c>
      <c r="B8" s="6"/>
      <c r="C8" s="125">
        <v>1.56</v>
      </c>
      <c r="D8" s="125">
        <v>2.14</v>
      </c>
      <c r="E8" s="125">
        <v>4.17</v>
      </c>
      <c r="F8" s="125">
        <v>0</v>
      </c>
      <c r="G8" s="114" t="s">
        <v>424</v>
      </c>
      <c r="H8" s="6"/>
      <c r="I8" s="6"/>
      <c r="J8" s="6"/>
      <c r="K8" s="6"/>
      <c r="L8" s="6"/>
    </row>
    <row r="9" spans="1:14" ht="15.75" customHeight="1" x14ac:dyDescent="0.2">
      <c r="A9" s="6"/>
      <c r="B9" s="6"/>
      <c r="C9" s="133"/>
      <c r="D9" s="133"/>
      <c r="E9" s="133"/>
      <c r="F9" s="6"/>
      <c r="G9" s="6"/>
      <c r="H9" s="6"/>
      <c r="I9" s="6"/>
      <c r="J9" s="6"/>
      <c r="K9" s="6"/>
      <c r="L9" s="6"/>
    </row>
    <row r="10" spans="1:14" ht="15.75" customHeight="1" x14ac:dyDescent="0.2">
      <c r="A10" s="6" t="s">
        <v>426</v>
      </c>
      <c r="B10" s="6"/>
      <c r="C10" s="125">
        <f>SUM(C7:C8)</f>
        <v>9.0400000000000009</v>
      </c>
      <c r="D10" s="125">
        <f t="shared" ref="D10:E10" si="1">SUM(D7:D9)</f>
        <v>39.14</v>
      </c>
      <c r="E10" s="125">
        <f t="shared" si="1"/>
        <v>151.91</v>
      </c>
      <c r="F10" s="6"/>
      <c r="G10" s="6"/>
      <c r="H10" s="6"/>
      <c r="I10" s="6"/>
      <c r="J10" s="6"/>
      <c r="K10" s="6"/>
      <c r="L10" s="6"/>
    </row>
    <row r="11" spans="1:14" ht="15.75" customHeight="1" x14ac:dyDescent="0.2">
      <c r="A11" s="6"/>
      <c r="B11" s="6"/>
      <c r="C11" s="133"/>
      <c r="D11" s="133"/>
      <c r="E11" s="133"/>
      <c r="F11" s="6"/>
      <c r="G11" s="6"/>
      <c r="H11" s="6"/>
      <c r="I11" s="6"/>
      <c r="J11" s="6"/>
      <c r="K11" s="6"/>
      <c r="L11" s="6"/>
    </row>
    <row r="12" spans="1:14" ht="15.75" customHeight="1" x14ac:dyDescent="0.2">
      <c r="A12" s="6"/>
      <c r="B12" s="6"/>
      <c r="C12" s="133"/>
      <c r="D12" s="133"/>
      <c r="E12" s="133"/>
      <c r="F12" s="6"/>
      <c r="G12" s="6"/>
      <c r="H12" s="6"/>
      <c r="I12" s="6"/>
      <c r="J12" s="6"/>
      <c r="K12" s="6"/>
      <c r="L12" s="6"/>
    </row>
    <row r="13" spans="1:14" ht="15.75" customHeight="1" x14ac:dyDescent="0.2">
      <c r="A13" s="122" t="s">
        <v>427</v>
      </c>
      <c r="B13" s="6"/>
      <c r="C13" s="130">
        <v>108.48</v>
      </c>
      <c r="D13" s="130">
        <f t="shared" ref="D13:E13" si="2">SUM(D10*12)</f>
        <v>469.68</v>
      </c>
      <c r="E13" s="130">
        <f t="shared" si="2"/>
        <v>1822.92</v>
      </c>
      <c r="F13" s="6"/>
      <c r="G13" s="6"/>
      <c r="H13" s="6"/>
      <c r="I13" s="6"/>
      <c r="J13" s="6"/>
      <c r="K13" s="6"/>
      <c r="L13" s="6"/>
    </row>
    <row r="14" spans="1:14" ht="15.75" customHeight="1" x14ac:dyDescent="0.2">
      <c r="A14" s="6"/>
      <c r="B14" s="6"/>
      <c r="C14" s="133"/>
      <c r="D14" s="133"/>
      <c r="E14" s="133"/>
      <c r="F14" s="6"/>
      <c r="G14" s="6"/>
      <c r="H14" s="6"/>
      <c r="I14" s="6"/>
      <c r="J14" s="6"/>
      <c r="K14" s="6"/>
      <c r="L14" s="6"/>
    </row>
    <row r="15" spans="1:14" ht="15.75" customHeight="1" x14ac:dyDescent="0.2">
      <c r="A15" s="6"/>
      <c r="B15" s="6"/>
      <c r="C15" s="133"/>
      <c r="D15" s="133"/>
      <c r="E15" s="133"/>
      <c r="F15" s="6"/>
      <c r="G15" s="6"/>
      <c r="H15" s="6"/>
      <c r="I15" s="6"/>
      <c r="J15" s="6"/>
      <c r="K15" s="6"/>
      <c r="L15" s="6"/>
    </row>
    <row r="16" spans="1:14" ht="15.75" customHeight="1" x14ac:dyDescent="0.2">
      <c r="A16" s="122" t="s">
        <v>428</v>
      </c>
      <c r="B16" s="6"/>
      <c r="C16" s="130">
        <f t="shared" ref="C16:E16" si="3">SUM(C4-C13)</f>
        <v>11.399999999999991</v>
      </c>
      <c r="D16" s="130">
        <f t="shared" si="3"/>
        <v>370.32</v>
      </c>
      <c r="E16" s="130">
        <f t="shared" si="3"/>
        <v>97.079999999999927</v>
      </c>
      <c r="F16" s="114">
        <v>0</v>
      </c>
      <c r="G16" s="6"/>
      <c r="H16" s="6"/>
      <c r="I16" s="6"/>
      <c r="J16" s="6"/>
      <c r="K16" s="6"/>
      <c r="L16" s="6"/>
    </row>
    <row r="17" spans="1:12" ht="15.75" customHeight="1" x14ac:dyDescent="0.2">
      <c r="A17" s="6"/>
      <c r="B17" s="6"/>
      <c r="C17" s="6"/>
      <c r="D17" s="6"/>
      <c r="E17" s="6"/>
      <c r="F17" s="6"/>
      <c r="G17" s="6"/>
      <c r="H17" s="6"/>
      <c r="I17" s="6"/>
      <c r="J17" s="6"/>
      <c r="K17" s="6"/>
      <c r="L17" s="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I9"/>
  <sheetViews>
    <sheetView topLeftCell="B1" workbookViewId="0"/>
  </sheetViews>
  <sheetFormatPr baseColWidth="10" defaultColWidth="12.6640625" defaultRowHeight="15.75" customHeight="1" x14ac:dyDescent="0.15"/>
  <sheetData>
    <row r="1" spans="1:9" ht="15.75" customHeight="1" x14ac:dyDescent="0.2">
      <c r="A1" s="6" t="s">
        <v>429</v>
      </c>
      <c r="B1" s="6"/>
      <c r="C1" s="131" t="s">
        <v>377</v>
      </c>
      <c r="D1" s="131" t="s">
        <v>79</v>
      </c>
      <c r="E1" s="131" t="s">
        <v>80</v>
      </c>
      <c r="F1" s="131" t="s">
        <v>81</v>
      </c>
      <c r="G1" s="131" t="s">
        <v>82</v>
      </c>
    </row>
    <row r="2" spans="1:9" ht="15.75" customHeight="1" x14ac:dyDescent="0.2">
      <c r="A2" s="6" t="s">
        <v>430</v>
      </c>
      <c r="B2" s="6"/>
      <c r="C2" s="119">
        <v>500000</v>
      </c>
      <c r="D2" s="119">
        <v>500000</v>
      </c>
      <c r="E2" s="119">
        <v>500000</v>
      </c>
      <c r="F2" s="119">
        <v>500000</v>
      </c>
      <c r="G2" s="119">
        <v>500000</v>
      </c>
    </row>
    <row r="3" spans="1:9" ht="15.75" customHeight="1" x14ac:dyDescent="0.2">
      <c r="A3" s="6" t="s">
        <v>431</v>
      </c>
      <c r="B3" s="6"/>
      <c r="C3" s="137">
        <v>3</v>
      </c>
      <c r="D3" s="137">
        <v>5</v>
      </c>
      <c r="E3" s="137">
        <v>7</v>
      </c>
      <c r="F3" s="137">
        <v>11</v>
      </c>
      <c r="G3" s="137">
        <v>13</v>
      </c>
      <c r="I3" s="4" t="s">
        <v>432</v>
      </c>
    </row>
    <row r="4" spans="1:9" ht="15.75" customHeight="1" x14ac:dyDescent="0.2">
      <c r="A4" s="6" t="s">
        <v>433</v>
      </c>
      <c r="B4" s="6"/>
      <c r="C4" s="119">
        <f t="shared" ref="C4:G4" si="0">SUM(C2*C3)</f>
        <v>1500000</v>
      </c>
      <c r="D4" s="119">
        <f t="shared" si="0"/>
        <v>2500000</v>
      </c>
      <c r="E4" s="119">
        <f t="shared" si="0"/>
        <v>3500000</v>
      </c>
      <c r="F4" s="119">
        <f t="shared" si="0"/>
        <v>5500000</v>
      </c>
      <c r="G4" s="119">
        <f t="shared" si="0"/>
        <v>6500000</v>
      </c>
    </row>
    <row r="5" spans="1:9" ht="15.75" customHeight="1" x14ac:dyDescent="0.2">
      <c r="A5" s="6" t="s">
        <v>434</v>
      </c>
      <c r="B5" s="6"/>
      <c r="C5" s="138">
        <v>0.15</v>
      </c>
      <c r="D5" s="138">
        <v>0.15</v>
      </c>
      <c r="E5" s="138">
        <v>0.15</v>
      </c>
      <c r="F5" s="138">
        <v>0.15</v>
      </c>
      <c r="G5" s="138">
        <v>0.15</v>
      </c>
    </row>
    <row r="6" spans="1:9" ht="15.75" customHeight="1" x14ac:dyDescent="0.2">
      <c r="A6" s="6" t="s">
        <v>435</v>
      </c>
      <c r="B6" s="6"/>
      <c r="C6" s="119">
        <f>'13. Revenue Product 2 -- Real E'!C28*C5</f>
        <v>449507.75280898873</v>
      </c>
      <c r="D6" s="119">
        <f>D5*'13. Revenue Product 2 -- Real E'!E28</f>
        <v>923646.06741573033</v>
      </c>
      <c r="E6" s="119">
        <f>E5*'13. Revenue Product 2 -- Real E'!G28</f>
        <v>1847292.1348314607</v>
      </c>
      <c r="F6" s="119">
        <f>F5*'13. Revenue Product 2 -- Real E'!I28</f>
        <v>3694584.2696629213</v>
      </c>
      <c r="G6" s="119">
        <f>G5*'13. Revenue Product 2 -- Real E'!K28</f>
        <v>6157640.4494382013</v>
      </c>
    </row>
    <row r="7" spans="1:9" ht="15.75" customHeight="1" x14ac:dyDescent="0.2">
      <c r="A7" s="6"/>
      <c r="B7" s="6"/>
      <c r="C7" s="118"/>
      <c r="D7" s="118"/>
      <c r="E7" s="118"/>
      <c r="F7" s="118"/>
      <c r="G7" s="118"/>
    </row>
    <row r="8" spans="1:9" ht="15.75" customHeight="1" x14ac:dyDescent="0.2">
      <c r="A8" s="122" t="s">
        <v>405</v>
      </c>
      <c r="B8" s="6"/>
      <c r="C8" s="123">
        <f t="shared" ref="C8:G8" si="1">SUM(C4:C6)</f>
        <v>1949507.9028089887</v>
      </c>
      <c r="D8" s="123">
        <f t="shared" si="1"/>
        <v>3423646.2174157305</v>
      </c>
      <c r="E8" s="123">
        <f t="shared" si="1"/>
        <v>5347292.2848314606</v>
      </c>
      <c r="F8" s="123">
        <f t="shared" si="1"/>
        <v>9194584.4196629226</v>
      </c>
      <c r="G8" s="123">
        <f t="shared" si="1"/>
        <v>12657640.599438202</v>
      </c>
    </row>
    <row r="9" spans="1:9" ht="15.75" customHeight="1" x14ac:dyDescent="0.2">
      <c r="A9" s="6"/>
      <c r="B9" s="6"/>
      <c r="C9" s="6"/>
      <c r="D9" s="6"/>
      <c r="E9" s="6"/>
      <c r="F9" s="6"/>
      <c r="G9" s="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I12"/>
  <sheetViews>
    <sheetView workbookViewId="0"/>
  </sheetViews>
  <sheetFormatPr baseColWidth="10" defaultColWidth="12.6640625" defaultRowHeight="15.75" customHeight="1" x14ac:dyDescent="0.15"/>
  <sheetData>
    <row r="1" spans="1:9" ht="15.75" customHeight="1" x14ac:dyDescent="0.2">
      <c r="A1" s="6" t="s">
        <v>436</v>
      </c>
      <c r="B1" s="6"/>
      <c r="C1" s="6" t="s">
        <v>377</v>
      </c>
      <c r="D1" s="6" t="s">
        <v>79</v>
      </c>
      <c r="E1" s="6" t="s">
        <v>80</v>
      </c>
      <c r="F1" s="6" t="s">
        <v>81</v>
      </c>
      <c r="G1" s="6" t="s">
        <v>82</v>
      </c>
      <c r="H1" s="6"/>
      <c r="I1" s="6"/>
    </row>
    <row r="2" spans="1:9" ht="15.75" customHeight="1" x14ac:dyDescent="0.2">
      <c r="A2" s="6" t="s">
        <v>437</v>
      </c>
      <c r="B2" s="126">
        <v>1.4999999999999999E-2</v>
      </c>
      <c r="C2" s="6"/>
      <c r="D2" s="6"/>
      <c r="E2" s="6"/>
      <c r="F2" s="6"/>
      <c r="G2" s="6"/>
      <c r="H2" s="6"/>
      <c r="I2" s="6"/>
    </row>
    <row r="3" spans="1:9" ht="15.75" customHeight="1" x14ac:dyDescent="0.2">
      <c r="A3" s="6" t="s">
        <v>438</v>
      </c>
      <c r="B3" s="6"/>
      <c r="C3" s="119">
        <f>'12. Revenue Product 1 -- Invest'!C12</f>
        <v>160427807.48663101</v>
      </c>
      <c r="D3" s="119">
        <f>'12. Revenue Product 1 -- Invest'!D12</f>
        <v>320855614.97326201</v>
      </c>
      <c r="E3" s="119">
        <f>'12. Revenue Product 1 -- Invest'!E12</f>
        <v>481283422.45989305</v>
      </c>
      <c r="F3" s="119">
        <f>'12. Revenue Product 1 -- Invest'!F12</f>
        <v>962566844.9197861</v>
      </c>
      <c r="G3" s="119">
        <f>'12. Revenue Product 1 -- Invest'!G12</f>
        <v>2406417112.2994652</v>
      </c>
      <c r="H3" s="6"/>
      <c r="I3" s="6" t="s">
        <v>439</v>
      </c>
    </row>
    <row r="4" spans="1:9" ht="15.75" customHeight="1" x14ac:dyDescent="0.2">
      <c r="A4" s="6"/>
      <c r="B4" s="6"/>
      <c r="C4" s="6"/>
      <c r="D4" s="6"/>
      <c r="E4" s="6"/>
      <c r="F4" s="6"/>
      <c r="G4" s="6"/>
      <c r="H4" s="6"/>
      <c r="I4" s="6"/>
    </row>
    <row r="5" spans="1:9" ht="15.75" customHeight="1" x14ac:dyDescent="0.2">
      <c r="A5" s="6" t="s">
        <v>437</v>
      </c>
      <c r="B5" s="6"/>
      <c r="C5" s="115">
        <f>B2</f>
        <v>1.4999999999999999E-2</v>
      </c>
      <c r="D5" s="115">
        <f>B2</f>
        <v>1.4999999999999999E-2</v>
      </c>
      <c r="E5" s="115">
        <f>B2</f>
        <v>1.4999999999999999E-2</v>
      </c>
      <c r="F5" s="115">
        <f>B2</f>
        <v>1.4999999999999999E-2</v>
      </c>
      <c r="G5" s="115">
        <f>B2</f>
        <v>1.4999999999999999E-2</v>
      </c>
      <c r="H5" s="6"/>
      <c r="I5" s="6"/>
    </row>
    <row r="6" spans="1:9" ht="15.75" customHeight="1" x14ac:dyDescent="0.2">
      <c r="A6" s="6"/>
      <c r="B6" s="6"/>
      <c r="C6" s="6"/>
      <c r="D6" s="6"/>
      <c r="E6" s="6"/>
      <c r="F6" s="6"/>
      <c r="G6" s="6"/>
      <c r="H6" s="6"/>
      <c r="I6" s="6"/>
    </row>
    <row r="7" spans="1:9" ht="15.75" customHeight="1" x14ac:dyDescent="0.2">
      <c r="A7" s="122" t="s">
        <v>440</v>
      </c>
      <c r="B7" s="6"/>
      <c r="C7" s="123">
        <f t="shared" ref="C7:G7" si="0">SUM(C3*C5)</f>
        <v>2406417.1122994651</v>
      </c>
      <c r="D7" s="123">
        <f t="shared" si="0"/>
        <v>4812834.2245989302</v>
      </c>
      <c r="E7" s="123">
        <f t="shared" si="0"/>
        <v>7219251.3368983958</v>
      </c>
      <c r="F7" s="123">
        <f t="shared" si="0"/>
        <v>14438502.673796792</v>
      </c>
      <c r="G7" s="123">
        <f t="shared" si="0"/>
        <v>36096256.684491977</v>
      </c>
      <c r="H7" s="6"/>
      <c r="I7" s="6"/>
    </row>
    <row r="8" spans="1:9" ht="15.75" customHeight="1" x14ac:dyDescent="0.2">
      <c r="A8" s="6"/>
      <c r="B8" s="6"/>
      <c r="C8" s="6"/>
      <c r="D8" s="6"/>
      <c r="E8" s="6"/>
      <c r="F8" s="6"/>
      <c r="G8" s="6"/>
      <c r="H8" s="6"/>
      <c r="I8" s="6"/>
    </row>
    <row r="9" spans="1:9" ht="15.75" customHeight="1" x14ac:dyDescent="0.2">
      <c r="A9" s="122" t="s">
        <v>441</v>
      </c>
      <c r="B9" s="6"/>
      <c r="C9" s="123">
        <f>C7</f>
        <v>2406417.1122994651</v>
      </c>
      <c r="D9" s="123">
        <f t="shared" ref="D9:G9" si="1">SUM(D7+C9)</f>
        <v>7219251.3368983958</v>
      </c>
      <c r="E9" s="123">
        <f t="shared" si="1"/>
        <v>14438502.673796792</v>
      </c>
      <c r="F9" s="123">
        <f t="shared" si="1"/>
        <v>28877005.347593583</v>
      </c>
      <c r="G9" s="123">
        <f t="shared" si="1"/>
        <v>64973262.03208556</v>
      </c>
      <c r="H9" s="6"/>
      <c r="I9" s="6"/>
    </row>
    <row r="10" spans="1:9" ht="15.75" customHeight="1" x14ac:dyDescent="0.2">
      <c r="A10" s="6"/>
      <c r="B10" s="6"/>
      <c r="C10" s="6"/>
      <c r="D10" s="6"/>
      <c r="E10" s="6"/>
      <c r="F10" s="6"/>
      <c r="G10" s="6"/>
      <c r="H10" s="6"/>
      <c r="I10" s="6"/>
    </row>
    <row r="11" spans="1:9" ht="15.75" customHeight="1" x14ac:dyDescent="0.2">
      <c r="A11" s="6"/>
      <c r="B11" s="6"/>
      <c r="C11" s="6"/>
      <c r="D11" s="6"/>
      <c r="E11" s="6"/>
      <c r="F11" s="6"/>
      <c r="G11" s="6"/>
      <c r="H11" s="6"/>
      <c r="I11" s="6"/>
    </row>
    <row r="12" spans="1:9" ht="15.75" customHeight="1" x14ac:dyDescent="0.2">
      <c r="A12" s="6"/>
      <c r="B12" s="6"/>
      <c r="C12" s="6"/>
      <c r="D12" s="6"/>
      <c r="E12" s="6"/>
      <c r="F12" s="6"/>
      <c r="G12" s="6"/>
      <c r="H12" s="6"/>
      <c r="I12" s="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O29"/>
  <sheetViews>
    <sheetView workbookViewId="0"/>
  </sheetViews>
  <sheetFormatPr baseColWidth="10" defaultColWidth="12.6640625" defaultRowHeight="15.75" customHeight="1" x14ac:dyDescent="0.15"/>
  <sheetData>
    <row r="1" spans="1:15" ht="15.75" customHeight="1" x14ac:dyDescent="0.2">
      <c r="A1" s="114" t="s">
        <v>442</v>
      </c>
      <c r="B1" s="6"/>
      <c r="C1" s="6"/>
      <c r="D1" s="6"/>
      <c r="E1" s="6"/>
      <c r="F1" s="6"/>
      <c r="G1" s="6"/>
      <c r="H1" s="6"/>
      <c r="I1" s="6"/>
      <c r="J1" s="6"/>
      <c r="K1" s="6"/>
      <c r="L1" s="6"/>
      <c r="M1" s="6"/>
      <c r="N1" s="6"/>
      <c r="O1" s="6"/>
    </row>
    <row r="2" spans="1:15" ht="15.75" customHeight="1" x14ac:dyDescent="0.2">
      <c r="A2" s="6" t="s">
        <v>443</v>
      </c>
      <c r="B2" s="6"/>
      <c r="C2" s="6" t="s">
        <v>377</v>
      </c>
      <c r="D2" s="6" t="s">
        <v>444</v>
      </c>
      <c r="E2" s="6" t="s">
        <v>445</v>
      </c>
      <c r="F2" s="6" t="s">
        <v>81</v>
      </c>
      <c r="G2" s="6" t="s">
        <v>82</v>
      </c>
      <c r="H2" s="6"/>
      <c r="I2" s="6"/>
      <c r="J2" s="6"/>
      <c r="K2" s="6"/>
      <c r="L2" s="6"/>
      <c r="M2" s="6"/>
      <c r="N2" s="6"/>
      <c r="O2" s="6"/>
    </row>
    <row r="3" spans="1:15" ht="15.75" customHeight="1" x14ac:dyDescent="0.2">
      <c r="A3" s="6" t="s">
        <v>408</v>
      </c>
      <c r="B3" s="6"/>
      <c r="C3" s="135">
        <v>7300</v>
      </c>
      <c r="D3" s="135">
        <v>15000</v>
      </c>
      <c r="E3" s="135">
        <v>30000</v>
      </c>
      <c r="F3" s="135">
        <v>60000</v>
      </c>
      <c r="G3" s="135">
        <v>100000</v>
      </c>
      <c r="H3" s="6"/>
      <c r="I3" s="114" t="s">
        <v>446</v>
      </c>
      <c r="J3" s="6"/>
      <c r="K3" s="6"/>
      <c r="L3" s="6"/>
      <c r="M3" s="6"/>
      <c r="N3" s="6"/>
      <c r="O3" s="6"/>
    </row>
    <row r="4" spans="1:15" ht="15.75" customHeight="1" x14ac:dyDescent="0.2">
      <c r="A4" s="6" t="s">
        <v>447</v>
      </c>
      <c r="B4" s="6"/>
      <c r="C4" s="135">
        <v>10000</v>
      </c>
      <c r="D4" s="135">
        <v>20000</v>
      </c>
      <c r="E4" s="135">
        <v>30000</v>
      </c>
      <c r="F4" s="135">
        <v>60000</v>
      </c>
      <c r="G4" s="135">
        <v>150000</v>
      </c>
      <c r="H4" s="6"/>
      <c r="I4" s="114" t="s">
        <v>448</v>
      </c>
      <c r="J4" s="6"/>
      <c r="K4" s="6"/>
      <c r="L4" s="6"/>
      <c r="M4" s="6"/>
      <c r="N4" s="6"/>
      <c r="O4" s="6"/>
    </row>
    <row r="5" spans="1:15" ht="15.75" customHeight="1" x14ac:dyDescent="0.2">
      <c r="A5" s="6" t="s">
        <v>449</v>
      </c>
      <c r="B5" s="6"/>
      <c r="C5" s="135">
        <v>7300</v>
      </c>
      <c r="D5" s="135">
        <v>15000</v>
      </c>
      <c r="E5" s="135">
        <v>30000</v>
      </c>
      <c r="F5" s="135">
        <v>60000</v>
      </c>
      <c r="G5" s="135">
        <v>100000</v>
      </c>
      <c r="H5" s="6"/>
      <c r="I5" s="6"/>
      <c r="J5" s="6"/>
      <c r="K5" s="6"/>
      <c r="L5" s="6"/>
      <c r="M5" s="6"/>
      <c r="N5" s="6"/>
      <c r="O5" s="6"/>
    </row>
    <row r="6" spans="1:15" ht="15.75" customHeight="1" x14ac:dyDescent="0.2">
      <c r="A6" s="6"/>
      <c r="B6" s="6"/>
      <c r="C6" s="6"/>
      <c r="D6" s="6"/>
      <c r="E6" s="6"/>
      <c r="F6" s="6"/>
      <c r="G6" s="6"/>
      <c r="H6" s="6"/>
      <c r="I6" s="6"/>
      <c r="J6" s="6"/>
      <c r="K6" s="6"/>
      <c r="L6" s="6"/>
      <c r="M6" s="6"/>
      <c r="N6" s="6"/>
      <c r="O6" s="6"/>
    </row>
    <row r="7" spans="1:15" ht="15.75" customHeight="1" x14ac:dyDescent="0.2">
      <c r="A7" s="6"/>
      <c r="B7" s="6"/>
      <c r="C7" s="6"/>
      <c r="D7" s="6"/>
      <c r="E7" s="6"/>
      <c r="F7" s="6"/>
      <c r="G7" s="6"/>
      <c r="H7" s="6"/>
      <c r="I7" s="6"/>
      <c r="J7" s="6"/>
      <c r="K7" s="6"/>
      <c r="L7" s="6"/>
      <c r="M7" s="6"/>
      <c r="N7" s="6"/>
      <c r="O7" s="6"/>
    </row>
    <row r="8" spans="1:15" ht="15.75" customHeight="1" x14ac:dyDescent="0.2">
      <c r="A8" s="6"/>
      <c r="B8" s="6"/>
      <c r="C8" s="6"/>
      <c r="D8" s="6"/>
      <c r="E8" s="6"/>
      <c r="F8" s="6"/>
      <c r="G8" s="6"/>
      <c r="H8" s="6"/>
      <c r="I8" s="6"/>
      <c r="J8" s="6"/>
      <c r="K8" s="6"/>
      <c r="L8" s="6"/>
      <c r="M8" s="6"/>
      <c r="N8" s="6"/>
      <c r="O8" s="6"/>
    </row>
    <row r="9" spans="1:15" ht="15.75" customHeight="1" x14ac:dyDescent="0.2">
      <c r="A9" s="6"/>
      <c r="B9" s="6"/>
      <c r="C9" s="6"/>
      <c r="D9" s="6"/>
      <c r="E9" s="6"/>
      <c r="F9" s="6"/>
      <c r="G9" s="6"/>
      <c r="H9" s="6"/>
      <c r="I9" s="6"/>
      <c r="J9" s="6"/>
      <c r="K9" s="6"/>
      <c r="L9" s="6"/>
      <c r="M9" s="6"/>
      <c r="N9" s="6"/>
      <c r="O9" s="6"/>
    </row>
    <row r="10" spans="1:15" ht="15.75" customHeight="1" x14ac:dyDescent="0.2">
      <c r="A10" s="6"/>
      <c r="B10" s="6"/>
      <c r="C10" s="6"/>
      <c r="D10" s="6"/>
      <c r="E10" s="6"/>
      <c r="F10" s="6"/>
      <c r="G10" s="6"/>
      <c r="H10" s="6"/>
      <c r="I10" s="6"/>
      <c r="J10" s="6"/>
      <c r="K10" s="6"/>
      <c r="L10" s="6"/>
      <c r="M10" s="6"/>
      <c r="N10" s="6"/>
      <c r="O10" s="6"/>
    </row>
    <row r="11" spans="1:15" ht="15.75" customHeight="1" x14ac:dyDescent="0.2">
      <c r="A11" s="6"/>
      <c r="B11" s="6"/>
      <c r="C11" s="6"/>
      <c r="D11" s="6"/>
      <c r="E11" s="6" t="s">
        <v>377</v>
      </c>
      <c r="F11" s="6" t="s">
        <v>79</v>
      </c>
      <c r="G11" s="6" t="s">
        <v>80</v>
      </c>
      <c r="H11" s="6" t="s">
        <v>81</v>
      </c>
      <c r="I11" s="6" t="s">
        <v>82</v>
      </c>
      <c r="J11" s="6"/>
      <c r="K11" s="6"/>
      <c r="L11" s="6"/>
      <c r="M11" s="6"/>
      <c r="N11" s="6"/>
      <c r="O11" s="6"/>
    </row>
    <row r="12" spans="1:15" ht="15.75" customHeight="1" x14ac:dyDescent="0.2">
      <c r="A12" s="6" t="s">
        <v>450</v>
      </c>
      <c r="B12" s="6"/>
      <c r="C12" s="6"/>
      <c r="D12" s="6"/>
      <c r="E12" s="6" t="s">
        <v>419</v>
      </c>
      <c r="F12" s="6"/>
      <c r="G12" s="6"/>
      <c r="H12" s="6"/>
      <c r="I12" s="6"/>
      <c r="J12" s="6"/>
      <c r="K12" s="6"/>
      <c r="L12" s="6"/>
      <c r="M12" s="6"/>
      <c r="N12" s="6"/>
      <c r="O12" s="6"/>
    </row>
    <row r="13" spans="1:15" ht="15.75" customHeight="1" x14ac:dyDescent="0.2">
      <c r="A13" s="6"/>
      <c r="B13" s="6" t="s">
        <v>451</v>
      </c>
      <c r="C13" s="6"/>
      <c r="D13" s="6"/>
      <c r="E13" s="125">
        <f t="shared" ref="E13:I13" si="0">C3</f>
        <v>7300</v>
      </c>
      <c r="F13" s="125">
        <f t="shared" si="0"/>
        <v>15000</v>
      </c>
      <c r="G13" s="125">
        <f t="shared" si="0"/>
        <v>30000</v>
      </c>
      <c r="H13" s="125">
        <f t="shared" si="0"/>
        <v>60000</v>
      </c>
      <c r="I13" s="125">
        <f t="shared" si="0"/>
        <v>100000</v>
      </c>
      <c r="J13" s="6"/>
      <c r="K13" s="6"/>
      <c r="L13" s="6"/>
      <c r="M13" s="6"/>
      <c r="N13" s="6"/>
      <c r="O13" s="6"/>
    </row>
    <row r="14" spans="1:15" ht="15.75" customHeight="1" x14ac:dyDescent="0.2">
      <c r="A14" s="6"/>
      <c r="B14" s="114" t="s">
        <v>452</v>
      </c>
      <c r="C14" s="6"/>
      <c r="D14" s="6"/>
      <c r="E14" s="116">
        <f t="shared" ref="E14:I14" si="1">SUM(E13/35.6)</f>
        <v>205.0561797752809</v>
      </c>
      <c r="F14" s="116">
        <f t="shared" si="1"/>
        <v>421.34831460674155</v>
      </c>
      <c r="G14" s="116">
        <f t="shared" si="1"/>
        <v>842.69662921348311</v>
      </c>
      <c r="H14" s="116">
        <f t="shared" si="1"/>
        <v>1685.3932584269662</v>
      </c>
      <c r="I14" s="116">
        <f t="shared" si="1"/>
        <v>2808.9887640449438</v>
      </c>
      <c r="J14" s="6"/>
      <c r="K14" s="6"/>
      <c r="L14" s="6"/>
      <c r="M14" s="6"/>
      <c r="N14" s="6"/>
      <c r="O14" s="6"/>
    </row>
    <row r="15" spans="1:15" ht="15.75" customHeight="1" x14ac:dyDescent="0.2">
      <c r="A15" s="6"/>
      <c r="B15" s="6"/>
      <c r="C15" s="6"/>
      <c r="D15" s="6"/>
      <c r="E15" s="6"/>
      <c r="F15" s="6"/>
      <c r="G15" s="6"/>
      <c r="H15" s="6"/>
      <c r="I15" s="6"/>
      <c r="J15" s="6"/>
      <c r="K15" s="6"/>
      <c r="L15" s="6"/>
      <c r="M15" s="6"/>
      <c r="N15" s="6"/>
      <c r="O15" s="6"/>
    </row>
    <row r="16" spans="1:15" ht="15.75" customHeight="1" x14ac:dyDescent="0.2">
      <c r="A16" s="6" t="s">
        <v>453</v>
      </c>
      <c r="B16" s="6"/>
      <c r="C16" s="6"/>
      <c r="D16" s="6"/>
      <c r="E16" s="6"/>
      <c r="F16" s="6"/>
      <c r="G16" s="6"/>
      <c r="H16" s="6"/>
      <c r="I16" s="6"/>
      <c r="J16" s="6"/>
      <c r="K16" s="6"/>
      <c r="L16" s="6"/>
      <c r="M16" s="6"/>
      <c r="N16" s="6"/>
      <c r="O16" s="6"/>
    </row>
    <row r="17" spans="1:15" ht="15.75" customHeight="1" x14ac:dyDescent="0.2">
      <c r="A17" s="6"/>
      <c r="B17" s="6" t="s">
        <v>451</v>
      </c>
      <c r="C17" s="6"/>
      <c r="D17" s="6"/>
      <c r="E17" s="125">
        <f t="shared" ref="E17:I17" si="2">C4</f>
        <v>10000</v>
      </c>
      <c r="F17" s="125">
        <f t="shared" si="2"/>
        <v>20000</v>
      </c>
      <c r="G17" s="125">
        <f t="shared" si="2"/>
        <v>30000</v>
      </c>
      <c r="H17" s="125">
        <f t="shared" si="2"/>
        <v>60000</v>
      </c>
      <c r="I17" s="125">
        <f t="shared" si="2"/>
        <v>150000</v>
      </c>
      <c r="J17" s="6"/>
      <c r="K17" s="6"/>
      <c r="L17" s="6"/>
      <c r="M17" s="6"/>
      <c r="N17" s="6"/>
      <c r="O17" s="6"/>
    </row>
    <row r="18" spans="1:15" ht="15.75" customHeight="1" x14ac:dyDescent="0.2">
      <c r="A18" s="6"/>
      <c r="B18" s="6" t="s">
        <v>454</v>
      </c>
      <c r="C18" s="6"/>
      <c r="D18" s="6"/>
      <c r="E18" s="116">
        <f t="shared" ref="E18:I18" si="3">E17/187</f>
        <v>53.475935828877006</v>
      </c>
      <c r="F18" s="116">
        <f t="shared" si="3"/>
        <v>106.95187165775401</v>
      </c>
      <c r="G18" s="116">
        <f t="shared" si="3"/>
        <v>160.42780748663102</v>
      </c>
      <c r="H18" s="116">
        <f t="shared" si="3"/>
        <v>320.85561497326205</v>
      </c>
      <c r="I18" s="116">
        <f t="shared" si="3"/>
        <v>802.13903743315507</v>
      </c>
      <c r="J18" s="6"/>
      <c r="K18" s="6"/>
      <c r="L18" s="6"/>
      <c r="M18" s="6"/>
      <c r="N18" s="6"/>
      <c r="O18" s="6"/>
    </row>
    <row r="19" spans="1:15" ht="15.75" customHeight="1" x14ac:dyDescent="0.2">
      <c r="A19" s="6"/>
      <c r="B19" s="6"/>
      <c r="C19" s="6"/>
      <c r="D19" s="6"/>
      <c r="E19" s="6"/>
      <c r="F19" s="6"/>
      <c r="G19" s="6"/>
      <c r="H19" s="6"/>
      <c r="I19" s="6"/>
      <c r="J19" s="6"/>
      <c r="K19" s="6"/>
      <c r="L19" s="6"/>
      <c r="M19" s="6"/>
      <c r="N19" s="6"/>
      <c r="O19" s="6"/>
    </row>
    <row r="20" spans="1:15" ht="15.75" customHeight="1" x14ac:dyDescent="0.2">
      <c r="A20" s="6" t="s">
        <v>455</v>
      </c>
      <c r="B20" s="6"/>
      <c r="C20" s="6"/>
      <c r="D20" s="6"/>
      <c r="E20" s="6"/>
      <c r="F20" s="6"/>
      <c r="G20" s="6"/>
      <c r="H20" s="6"/>
      <c r="I20" s="6"/>
      <c r="J20" s="6"/>
      <c r="K20" s="6"/>
      <c r="L20" s="6"/>
      <c r="M20" s="6"/>
      <c r="N20" s="6"/>
      <c r="O20" s="6"/>
    </row>
    <row r="21" spans="1:15" ht="15.75" customHeight="1" x14ac:dyDescent="0.2">
      <c r="A21" s="6"/>
      <c r="B21" s="6" t="s">
        <v>451</v>
      </c>
      <c r="C21" s="6"/>
      <c r="D21" s="6"/>
      <c r="E21" s="125">
        <f t="shared" ref="E21:I21" si="4">C5</f>
        <v>7300</v>
      </c>
      <c r="F21" s="125">
        <f t="shared" si="4"/>
        <v>15000</v>
      </c>
      <c r="G21" s="125">
        <f t="shared" si="4"/>
        <v>30000</v>
      </c>
      <c r="H21" s="125">
        <f t="shared" si="4"/>
        <v>60000</v>
      </c>
      <c r="I21" s="125">
        <f t="shared" si="4"/>
        <v>100000</v>
      </c>
      <c r="J21" s="6"/>
      <c r="K21" s="6"/>
      <c r="L21" s="6"/>
      <c r="M21" s="6"/>
      <c r="N21" s="6"/>
      <c r="O21" s="6"/>
    </row>
    <row r="22" spans="1:15" ht="15.75" customHeight="1" x14ac:dyDescent="0.2">
      <c r="A22" s="6"/>
      <c r="B22" s="6" t="s">
        <v>456</v>
      </c>
      <c r="C22" s="6"/>
      <c r="D22" s="6"/>
      <c r="E22" s="116">
        <f t="shared" ref="E22:I22" si="5">E21/1.65</f>
        <v>4424.2424242424249</v>
      </c>
      <c r="F22" s="116">
        <f t="shared" si="5"/>
        <v>9090.9090909090919</v>
      </c>
      <c r="G22" s="116">
        <f t="shared" si="5"/>
        <v>18181.818181818184</v>
      </c>
      <c r="H22" s="116">
        <f t="shared" si="5"/>
        <v>36363.636363636368</v>
      </c>
      <c r="I22" s="116">
        <f t="shared" si="5"/>
        <v>60606.060606060608</v>
      </c>
      <c r="J22" s="6"/>
      <c r="K22" s="6"/>
      <c r="L22" s="6"/>
      <c r="M22" s="6"/>
      <c r="N22" s="6"/>
      <c r="O22" s="6"/>
    </row>
    <row r="23" spans="1:15" ht="15.75" customHeight="1" x14ac:dyDescent="0.2">
      <c r="A23" s="6"/>
      <c r="B23" s="6"/>
      <c r="C23" s="6"/>
      <c r="D23" s="6"/>
      <c r="E23" s="6"/>
      <c r="F23" s="6"/>
      <c r="G23" s="6"/>
      <c r="H23" s="6"/>
      <c r="I23" s="6"/>
      <c r="J23" s="6"/>
      <c r="K23" s="6"/>
      <c r="L23" s="6"/>
      <c r="M23" s="6"/>
      <c r="N23" s="6"/>
      <c r="O23" s="6"/>
    </row>
    <row r="24" spans="1:15" ht="15.75" customHeight="1" x14ac:dyDescent="0.2">
      <c r="A24" s="6"/>
      <c r="B24" s="6"/>
      <c r="C24" s="6"/>
      <c r="D24" s="6"/>
      <c r="E24" s="6"/>
      <c r="F24" s="6"/>
      <c r="G24" s="6"/>
      <c r="H24" s="6"/>
      <c r="I24" s="6"/>
      <c r="J24" s="6"/>
      <c r="K24" s="6"/>
      <c r="L24" s="6"/>
      <c r="M24" s="6"/>
      <c r="N24" s="6"/>
      <c r="O24" s="6"/>
    </row>
    <row r="25" spans="1:15" ht="15.75" customHeight="1" x14ac:dyDescent="0.2">
      <c r="A25" s="6" t="s">
        <v>457</v>
      </c>
      <c r="B25" s="6"/>
      <c r="C25" s="6"/>
      <c r="D25" s="6"/>
      <c r="E25" s="6"/>
      <c r="F25" s="6"/>
      <c r="G25" s="6"/>
      <c r="H25" s="6"/>
      <c r="I25" s="6"/>
      <c r="J25" s="6"/>
      <c r="K25" s="6"/>
      <c r="L25" s="6"/>
      <c r="M25" s="6"/>
      <c r="N25" s="6"/>
      <c r="O25" s="6"/>
    </row>
    <row r="26" spans="1:15" ht="15.75" customHeight="1" x14ac:dyDescent="0.2">
      <c r="A26" s="6" t="s">
        <v>458</v>
      </c>
      <c r="B26" s="6"/>
      <c r="C26" s="6"/>
      <c r="D26" s="6"/>
      <c r="E26" s="6"/>
      <c r="F26" s="6"/>
      <c r="G26" s="6"/>
      <c r="H26" s="6"/>
      <c r="I26" s="6"/>
      <c r="J26" s="6"/>
      <c r="K26" s="6"/>
      <c r="L26" s="6"/>
      <c r="M26" s="6"/>
      <c r="N26" s="6"/>
      <c r="O26" s="6"/>
    </row>
    <row r="27" spans="1:15" ht="15.75" customHeight="1" x14ac:dyDescent="0.2">
      <c r="A27" s="6" t="s">
        <v>459</v>
      </c>
      <c r="B27" s="6"/>
      <c r="C27" s="6"/>
      <c r="D27" s="6"/>
      <c r="E27" s="6"/>
      <c r="F27" s="6"/>
      <c r="G27" s="6"/>
      <c r="H27" s="6"/>
      <c r="I27" s="6"/>
      <c r="J27" s="6"/>
      <c r="K27" s="6"/>
      <c r="L27" s="6"/>
      <c r="M27" s="6"/>
      <c r="N27" s="6"/>
      <c r="O27" s="6"/>
    </row>
    <row r="28" spans="1:15" ht="15.75" customHeight="1" x14ac:dyDescent="0.2">
      <c r="A28" s="6" t="s">
        <v>460</v>
      </c>
      <c r="B28" s="6"/>
      <c r="C28" s="6"/>
      <c r="D28" s="6"/>
      <c r="E28" s="6"/>
      <c r="F28" s="6"/>
      <c r="G28" s="6"/>
      <c r="H28" s="6"/>
      <c r="I28" s="6"/>
      <c r="J28" s="6"/>
      <c r="K28" s="6"/>
      <c r="L28" s="6"/>
      <c r="M28" s="6"/>
      <c r="N28" s="6"/>
      <c r="O28" s="6"/>
    </row>
    <row r="29" spans="1:15" ht="15.75" customHeight="1" x14ac:dyDescent="0.2">
      <c r="A29" s="6"/>
      <c r="B29" s="6"/>
      <c r="C29" s="6"/>
      <c r="D29" s="6"/>
      <c r="E29" s="6"/>
      <c r="F29" s="6"/>
      <c r="G29" s="6"/>
      <c r="H29" s="6"/>
      <c r="I29" s="6"/>
      <c r="J29" s="6"/>
      <c r="K29" s="6"/>
      <c r="L29" s="6"/>
      <c r="M29" s="6"/>
      <c r="N29" s="6"/>
      <c r="O29" s="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N15"/>
  <sheetViews>
    <sheetView workbookViewId="0"/>
  </sheetViews>
  <sheetFormatPr baseColWidth="10" defaultColWidth="12.6640625" defaultRowHeight="15.75" customHeight="1" x14ac:dyDescent="0.15"/>
  <sheetData>
    <row r="1" spans="1:14" ht="15.75" customHeight="1" x14ac:dyDescent="0.2">
      <c r="A1" s="139" t="s">
        <v>422</v>
      </c>
      <c r="B1" s="6"/>
      <c r="C1" s="118"/>
      <c r="D1" s="118"/>
      <c r="E1" s="118"/>
      <c r="F1" s="118"/>
      <c r="G1" s="118"/>
      <c r="H1" s="118"/>
      <c r="I1" s="118"/>
      <c r="J1" s="118"/>
      <c r="K1" s="118"/>
      <c r="L1" s="6"/>
      <c r="M1" s="6"/>
      <c r="N1" s="6"/>
    </row>
    <row r="2" spans="1:14" ht="15.75" customHeight="1" x14ac:dyDescent="0.2">
      <c r="A2" s="122" t="s">
        <v>423</v>
      </c>
      <c r="B2" s="6"/>
      <c r="C2" s="118"/>
      <c r="D2" s="118"/>
      <c r="E2" s="118"/>
      <c r="F2" s="118"/>
      <c r="G2" s="118"/>
      <c r="H2" s="118"/>
      <c r="I2" s="118"/>
      <c r="J2" s="118"/>
      <c r="K2" s="118"/>
      <c r="L2" s="6"/>
      <c r="M2" s="6"/>
      <c r="N2" s="6"/>
    </row>
    <row r="3" spans="1:14" ht="15.75" customHeight="1" x14ac:dyDescent="0.2">
      <c r="A3" s="6" t="s">
        <v>461</v>
      </c>
      <c r="B3" s="6"/>
      <c r="C3" s="6"/>
      <c r="D3" s="119">
        <v>333</v>
      </c>
      <c r="E3" s="118"/>
      <c r="F3" s="6"/>
      <c r="G3" s="119">
        <v>700</v>
      </c>
      <c r="H3" s="118"/>
      <c r="I3" s="6"/>
      <c r="J3" s="119">
        <v>1800</v>
      </c>
      <c r="K3" s="118"/>
      <c r="L3" s="6"/>
      <c r="M3" s="6" t="s">
        <v>462</v>
      </c>
      <c r="N3" s="6"/>
    </row>
    <row r="4" spans="1:14" ht="15.75" customHeight="1" x14ac:dyDescent="0.2">
      <c r="A4" s="6" t="s">
        <v>463</v>
      </c>
      <c r="B4" s="6"/>
      <c r="C4" s="6"/>
      <c r="D4" s="119">
        <v>1224</v>
      </c>
      <c r="E4" s="119">
        <v>1224</v>
      </c>
      <c r="F4" s="6"/>
      <c r="G4" s="119">
        <v>2640</v>
      </c>
      <c r="H4" s="119">
        <v>2640</v>
      </c>
      <c r="I4" s="6"/>
      <c r="J4" s="119">
        <v>6000</v>
      </c>
      <c r="K4" s="119">
        <v>6000</v>
      </c>
      <c r="L4" s="6"/>
      <c r="M4" s="6" t="s">
        <v>464</v>
      </c>
      <c r="N4" s="6"/>
    </row>
    <row r="5" spans="1:14" ht="15.75" customHeight="1" x14ac:dyDescent="0.2">
      <c r="A5" s="122" t="s">
        <v>465</v>
      </c>
      <c r="B5" s="6"/>
      <c r="C5" s="118"/>
      <c r="D5" s="118"/>
      <c r="E5" s="118"/>
      <c r="F5" s="118"/>
      <c r="G5" s="118"/>
      <c r="H5" s="118"/>
      <c r="I5" s="118"/>
      <c r="J5" s="118"/>
      <c r="K5" s="118"/>
      <c r="L5" s="6"/>
      <c r="M5" s="6"/>
      <c r="N5" s="6"/>
    </row>
    <row r="6" spans="1:14" ht="15.75" customHeight="1" x14ac:dyDescent="0.2">
      <c r="A6" s="6" t="s">
        <v>466</v>
      </c>
      <c r="B6" s="6"/>
      <c r="C6" s="6"/>
      <c r="D6" s="119">
        <v>320</v>
      </c>
      <c r="E6" s="119">
        <v>320</v>
      </c>
      <c r="F6" s="118"/>
      <c r="G6" s="119">
        <v>320</v>
      </c>
      <c r="H6" s="119">
        <v>320</v>
      </c>
      <c r="I6" s="118"/>
      <c r="J6" s="119">
        <v>320</v>
      </c>
      <c r="K6" s="119">
        <v>320</v>
      </c>
      <c r="L6" s="6"/>
      <c r="M6" s="6" t="s">
        <v>467</v>
      </c>
      <c r="N6" s="6"/>
    </row>
    <row r="7" spans="1:14" ht="15.75" customHeight="1" x14ac:dyDescent="0.2">
      <c r="A7" s="6" t="s">
        <v>468</v>
      </c>
      <c r="B7" s="6"/>
      <c r="C7" s="6"/>
      <c r="D7" s="119">
        <v>250</v>
      </c>
      <c r="E7" s="119">
        <v>250</v>
      </c>
      <c r="F7" s="118"/>
      <c r="G7" s="119">
        <v>250</v>
      </c>
      <c r="H7" s="119">
        <v>250</v>
      </c>
      <c r="I7" s="118"/>
      <c r="J7" s="119">
        <v>250</v>
      </c>
      <c r="K7" s="119">
        <v>250</v>
      </c>
      <c r="L7" s="6"/>
      <c r="M7" s="6" t="s">
        <v>469</v>
      </c>
      <c r="N7" s="6"/>
    </row>
    <row r="8" spans="1:14" ht="15.75" customHeight="1" x14ac:dyDescent="0.2">
      <c r="A8" s="6" t="s">
        <v>470</v>
      </c>
      <c r="B8" s="6"/>
      <c r="C8" s="6"/>
      <c r="D8" s="119">
        <v>3588</v>
      </c>
      <c r="E8" s="119">
        <v>3588</v>
      </c>
      <c r="F8" s="118"/>
      <c r="G8" s="119">
        <v>3588</v>
      </c>
      <c r="H8" s="119">
        <v>3588</v>
      </c>
      <c r="I8" s="118"/>
      <c r="J8" s="119">
        <v>3588</v>
      </c>
      <c r="K8" s="119">
        <v>3588</v>
      </c>
      <c r="L8" s="6"/>
      <c r="M8" s="6" t="s">
        <v>471</v>
      </c>
      <c r="N8" s="6"/>
    </row>
    <row r="9" spans="1:14" ht="15.75" customHeight="1" x14ac:dyDescent="0.2">
      <c r="A9" s="122" t="s">
        <v>472</v>
      </c>
      <c r="B9" s="6"/>
      <c r="C9" s="118"/>
      <c r="D9" s="118"/>
      <c r="E9" s="118"/>
      <c r="F9" s="118"/>
      <c r="G9" s="118"/>
      <c r="H9" s="118"/>
      <c r="I9" s="118"/>
      <c r="J9" s="118"/>
      <c r="K9" s="118"/>
      <c r="L9" s="6"/>
      <c r="M9" s="6"/>
      <c r="N9" s="6"/>
    </row>
    <row r="10" spans="1:14" ht="15.75" customHeight="1" x14ac:dyDescent="0.2">
      <c r="A10" s="6" t="s">
        <v>473</v>
      </c>
      <c r="B10" s="6"/>
      <c r="C10" s="6"/>
      <c r="D10" s="119">
        <v>1500</v>
      </c>
      <c r="E10" s="118"/>
      <c r="F10" s="6"/>
      <c r="G10" s="119">
        <v>1500</v>
      </c>
      <c r="H10" s="118"/>
      <c r="I10" s="6"/>
      <c r="J10" s="119">
        <v>1500</v>
      </c>
      <c r="K10" s="118"/>
      <c r="L10" s="6"/>
      <c r="M10" s="6" t="s">
        <v>474</v>
      </c>
      <c r="N10" s="6"/>
    </row>
    <row r="11" spans="1:14" ht="15.75" customHeight="1" x14ac:dyDescent="0.2">
      <c r="A11" s="6" t="s">
        <v>475</v>
      </c>
      <c r="B11" s="6"/>
      <c r="C11" s="6"/>
      <c r="D11" s="118"/>
      <c r="E11" s="119">
        <v>250</v>
      </c>
      <c r="F11" s="118"/>
      <c r="G11" s="118"/>
      <c r="H11" s="119">
        <v>250</v>
      </c>
      <c r="I11" s="6"/>
      <c r="J11" s="118"/>
      <c r="K11" s="119">
        <v>250</v>
      </c>
      <c r="L11" s="6"/>
      <c r="M11" s="6" t="s">
        <v>476</v>
      </c>
      <c r="N11" s="6"/>
    </row>
    <row r="12" spans="1:14" ht="15.75" customHeight="1" x14ac:dyDescent="0.2">
      <c r="A12" s="6" t="s">
        <v>477</v>
      </c>
      <c r="B12" s="6"/>
      <c r="C12" s="6"/>
      <c r="D12" s="140" t="s">
        <v>478</v>
      </c>
      <c r="E12" s="118"/>
      <c r="F12" s="6"/>
      <c r="G12" s="119">
        <v>1900</v>
      </c>
      <c r="H12" s="118"/>
      <c r="I12" s="6"/>
      <c r="J12" s="119">
        <v>1900</v>
      </c>
      <c r="K12" s="118"/>
      <c r="L12" s="6"/>
      <c r="M12" s="6" t="s">
        <v>479</v>
      </c>
      <c r="N12" s="6"/>
    </row>
    <row r="13" spans="1:14" ht="15.75" customHeight="1" x14ac:dyDescent="0.2">
      <c r="A13" s="6" t="s">
        <v>480</v>
      </c>
      <c r="B13" s="6"/>
      <c r="C13" s="6"/>
      <c r="D13" s="118"/>
      <c r="E13" s="140" t="s">
        <v>478</v>
      </c>
      <c r="F13" s="6"/>
      <c r="G13" s="118"/>
      <c r="H13" s="119">
        <v>1400</v>
      </c>
      <c r="I13" s="6"/>
      <c r="J13" s="118"/>
      <c r="K13" s="119">
        <v>1400</v>
      </c>
      <c r="L13" s="6"/>
      <c r="M13" s="6" t="s">
        <v>481</v>
      </c>
      <c r="N13" s="6"/>
    </row>
    <row r="14" spans="1:14" ht="15.75" customHeight="1" x14ac:dyDescent="0.2">
      <c r="A14" s="122" t="s">
        <v>482</v>
      </c>
      <c r="B14" s="6"/>
      <c r="C14" s="118"/>
      <c r="D14" s="123">
        <f t="shared" ref="D14:E14" si="0">SUM(D3:D13)</f>
        <v>7215</v>
      </c>
      <c r="E14" s="123">
        <f t="shared" si="0"/>
        <v>5632</v>
      </c>
      <c r="F14" s="118"/>
      <c r="G14" s="123">
        <f t="shared" ref="G14:H14" si="1">SUM(G3:G13)</f>
        <v>10898</v>
      </c>
      <c r="H14" s="123">
        <f t="shared" si="1"/>
        <v>8448</v>
      </c>
      <c r="I14" s="118"/>
      <c r="J14" s="123">
        <f t="shared" ref="J14:K14" si="2">SUM(J3:J13)</f>
        <v>15358</v>
      </c>
      <c r="K14" s="123">
        <f t="shared" si="2"/>
        <v>11808</v>
      </c>
      <c r="L14" s="6"/>
      <c r="M14" s="6"/>
      <c r="N14" s="6"/>
    </row>
    <row r="15" spans="1:14" ht="15.75" customHeight="1" x14ac:dyDescent="0.2">
      <c r="A15" s="6"/>
      <c r="B15" s="6"/>
      <c r="C15" s="118"/>
      <c r="D15" s="118"/>
      <c r="E15" s="118"/>
      <c r="F15" s="118"/>
      <c r="G15" s="118"/>
      <c r="H15" s="118"/>
      <c r="I15" s="118"/>
      <c r="J15" s="118"/>
      <c r="K15" s="118"/>
      <c r="L15" s="6"/>
      <c r="M15" s="6"/>
      <c r="N15" s="6"/>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O68"/>
  <sheetViews>
    <sheetView workbookViewId="0"/>
  </sheetViews>
  <sheetFormatPr baseColWidth="10" defaultColWidth="12.6640625" defaultRowHeight="15.75" customHeight="1" x14ac:dyDescent="0.15"/>
  <cols>
    <col min="6" max="6" width="18.6640625" customWidth="1"/>
  </cols>
  <sheetData>
    <row r="1" spans="1:8" ht="15.75" customHeight="1" x14ac:dyDescent="0.2">
      <c r="A1" s="114" t="s">
        <v>483</v>
      </c>
      <c r="B1" s="6"/>
      <c r="F1" s="141" t="s">
        <v>484</v>
      </c>
      <c r="G1" s="6" t="s">
        <v>485</v>
      </c>
      <c r="H1" s="6" t="s">
        <v>486</v>
      </c>
    </row>
    <row r="2" spans="1:8" ht="15.75" customHeight="1" x14ac:dyDescent="0.2">
      <c r="A2" s="6" t="s">
        <v>487</v>
      </c>
      <c r="B2" s="6"/>
      <c r="C2" s="6"/>
      <c r="D2" s="6"/>
      <c r="F2" s="6"/>
      <c r="G2" s="6"/>
      <c r="H2" s="6"/>
    </row>
    <row r="3" spans="1:8" ht="15.75" customHeight="1" x14ac:dyDescent="0.2">
      <c r="A3" s="6" t="s">
        <v>488</v>
      </c>
      <c r="B3" s="142"/>
      <c r="C3" s="6"/>
      <c r="D3" s="6"/>
      <c r="F3" s="119">
        <v>2500000</v>
      </c>
      <c r="G3" s="118"/>
      <c r="H3" s="118"/>
    </row>
    <row r="4" spans="1:8" ht="15.75" customHeight="1" x14ac:dyDescent="0.2">
      <c r="A4" s="6"/>
      <c r="B4" s="118"/>
      <c r="C4" s="118"/>
      <c r="D4" s="118"/>
      <c r="F4" s="6"/>
      <c r="G4" s="6"/>
      <c r="H4" s="6"/>
    </row>
    <row r="5" spans="1:8" ht="15.75" customHeight="1" x14ac:dyDescent="0.2">
      <c r="A5" s="6" t="s">
        <v>489</v>
      </c>
      <c r="B5" s="6"/>
      <c r="C5" s="6"/>
      <c r="D5" s="6"/>
      <c r="F5" s="6"/>
      <c r="G5" s="115">
        <v>0.01</v>
      </c>
      <c r="H5" s="127"/>
    </row>
    <row r="6" spans="1:8" ht="15.75" customHeight="1" x14ac:dyDescent="0.2">
      <c r="A6" s="6" t="s">
        <v>490</v>
      </c>
      <c r="B6" s="6"/>
      <c r="C6" s="115"/>
      <c r="D6" s="127"/>
      <c r="F6" s="6"/>
      <c r="G6" s="115">
        <v>5.0000000000000001E-3</v>
      </c>
      <c r="H6" s="115">
        <v>5.0000000000000001E-3</v>
      </c>
    </row>
    <row r="7" spans="1:8" ht="15.75" customHeight="1" x14ac:dyDescent="0.2">
      <c r="A7" s="6"/>
      <c r="B7" s="6"/>
      <c r="C7" s="115"/>
      <c r="D7" s="115"/>
      <c r="F7" s="127"/>
      <c r="G7" s="127"/>
      <c r="H7" s="127"/>
    </row>
    <row r="8" spans="1:8" ht="15.75" customHeight="1" x14ac:dyDescent="0.2">
      <c r="A8" s="139" t="s">
        <v>491</v>
      </c>
      <c r="B8" s="127"/>
      <c r="C8" s="127"/>
      <c r="D8" s="127"/>
      <c r="F8" s="127"/>
      <c r="G8" s="127"/>
      <c r="H8" s="127"/>
    </row>
    <row r="9" spans="1:8" ht="15.75" customHeight="1" x14ac:dyDescent="0.2">
      <c r="A9" s="6" t="s">
        <v>485</v>
      </c>
      <c r="B9" s="127"/>
      <c r="C9" s="127"/>
      <c r="D9" s="127"/>
      <c r="F9" s="6"/>
      <c r="G9" s="119">
        <f>SUM(G5*F3)+(G6*F3)</f>
        <v>37500</v>
      </c>
      <c r="H9" s="118"/>
    </row>
    <row r="10" spans="1:8" ht="15.75" customHeight="1" x14ac:dyDescent="0.2">
      <c r="A10" s="6" t="s">
        <v>492</v>
      </c>
      <c r="B10" s="6"/>
      <c r="C10" s="119"/>
      <c r="D10" s="118"/>
      <c r="F10" s="6"/>
      <c r="G10" s="118"/>
      <c r="H10" s="119">
        <f>SUM(G6*F3)</f>
        <v>12500</v>
      </c>
    </row>
    <row r="11" spans="1:8" ht="15.75" customHeight="1" x14ac:dyDescent="0.2">
      <c r="A11" s="6"/>
      <c r="B11" s="6"/>
      <c r="C11" s="118"/>
      <c r="D11" s="119"/>
      <c r="F11" s="118"/>
      <c r="G11" s="118"/>
      <c r="H11" s="118"/>
    </row>
    <row r="12" spans="1:8" ht="15.75" customHeight="1" x14ac:dyDescent="0.2">
      <c r="A12" s="139" t="s">
        <v>422</v>
      </c>
      <c r="B12" s="118"/>
      <c r="C12" s="118"/>
      <c r="D12" s="118"/>
      <c r="F12" s="118"/>
      <c r="G12" s="118"/>
      <c r="H12" s="118"/>
    </row>
    <row r="13" spans="1:8" ht="15.75" customHeight="1" x14ac:dyDescent="0.2">
      <c r="A13" s="122" t="s">
        <v>423</v>
      </c>
      <c r="B13" s="118"/>
      <c r="C13" s="118"/>
      <c r="D13" s="118"/>
      <c r="F13" s="118"/>
      <c r="G13" s="118"/>
      <c r="H13" s="118"/>
    </row>
    <row r="14" spans="1:8" ht="15.75" customHeight="1" x14ac:dyDescent="0.2">
      <c r="A14" s="6" t="s">
        <v>461</v>
      </c>
      <c r="B14" s="118"/>
      <c r="C14" s="118"/>
      <c r="D14" s="118"/>
      <c r="F14" s="6"/>
      <c r="G14" s="119">
        <v>700</v>
      </c>
      <c r="H14" s="118"/>
    </row>
    <row r="15" spans="1:8" ht="15.75" customHeight="1" x14ac:dyDescent="0.2">
      <c r="A15" s="6" t="s">
        <v>463</v>
      </c>
      <c r="B15" s="6"/>
      <c r="C15" s="119"/>
      <c r="D15" s="118"/>
      <c r="F15" s="6"/>
      <c r="G15" s="119">
        <v>2640</v>
      </c>
      <c r="H15" s="119">
        <v>2640</v>
      </c>
    </row>
    <row r="16" spans="1:8" ht="15.75" customHeight="1" x14ac:dyDescent="0.2">
      <c r="A16" s="122" t="s">
        <v>465</v>
      </c>
      <c r="B16" s="6"/>
      <c r="C16" s="119"/>
      <c r="D16" s="119"/>
      <c r="F16" s="118"/>
      <c r="G16" s="118"/>
      <c r="H16" s="118"/>
    </row>
    <row r="17" spans="1:15" ht="15.75" customHeight="1" x14ac:dyDescent="0.2">
      <c r="A17" s="6" t="s">
        <v>466</v>
      </c>
      <c r="B17" s="118"/>
      <c r="C17" s="118"/>
      <c r="D17" s="118"/>
      <c r="F17" s="118"/>
      <c r="G17" s="119">
        <v>320</v>
      </c>
      <c r="H17" s="119">
        <v>320</v>
      </c>
    </row>
    <row r="18" spans="1:15" ht="15.75" customHeight="1" x14ac:dyDescent="0.2">
      <c r="A18" s="6" t="s">
        <v>468</v>
      </c>
      <c r="B18" s="118"/>
      <c r="C18" s="119"/>
      <c r="D18" s="119"/>
      <c r="F18" s="118"/>
      <c r="G18" s="119">
        <v>250</v>
      </c>
      <c r="H18" s="119">
        <v>250</v>
      </c>
    </row>
    <row r="19" spans="1:15" ht="15.75" customHeight="1" x14ac:dyDescent="0.2">
      <c r="A19" s="6" t="s">
        <v>470</v>
      </c>
      <c r="B19" s="118"/>
      <c r="C19" s="119"/>
      <c r="D19" s="119"/>
      <c r="F19" s="118"/>
      <c r="G19" s="119">
        <v>3588</v>
      </c>
      <c r="H19" s="119">
        <v>3588</v>
      </c>
    </row>
    <row r="20" spans="1:15" ht="15.75" customHeight="1" x14ac:dyDescent="0.2">
      <c r="A20" s="122" t="s">
        <v>472</v>
      </c>
      <c r="B20" s="118"/>
      <c r="C20" s="119"/>
      <c r="D20" s="119"/>
      <c r="F20" s="118"/>
      <c r="G20" s="118"/>
      <c r="H20" s="118"/>
    </row>
    <row r="21" spans="1:15" ht="15.75" customHeight="1" x14ac:dyDescent="0.2">
      <c r="A21" s="6" t="s">
        <v>473</v>
      </c>
      <c r="B21" s="118"/>
      <c r="C21" s="118"/>
      <c r="D21" s="118"/>
      <c r="F21" s="6"/>
      <c r="G21" s="119">
        <v>1500</v>
      </c>
      <c r="H21" s="118"/>
    </row>
    <row r="22" spans="1:15" ht="15.75" customHeight="1" x14ac:dyDescent="0.2">
      <c r="A22" s="6" t="s">
        <v>475</v>
      </c>
      <c r="B22" s="6"/>
      <c r="C22" s="119"/>
      <c r="D22" s="118"/>
      <c r="F22" s="118"/>
      <c r="G22" s="118"/>
      <c r="H22" s="119">
        <v>250</v>
      </c>
    </row>
    <row r="23" spans="1:15" ht="15.75" customHeight="1" x14ac:dyDescent="0.2">
      <c r="A23" s="6" t="s">
        <v>477</v>
      </c>
      <c r="B23" s="118"/>
      <c r="C23" s="118"/>
      <c r="D23" s="119"/>
      <c r="F23" s="6"/>
      <c r="G23" s="119">
        <v>1900</v>
      </c>
      <c r="H23" s="118"/>
    </row>
    <row r="24" spans="1:15" ht="15.75" customHeight="1" x14ac:dyDescent="0.2">
      <c r="A24" s="6" t="s">
        <v>480</v>
      </c>
      <c r="B24" s="6"/>
      <c r="C24" s="119"/>
      <c r="D24" s="118"/>
      <c r="F24" s="6"/>
      <c r="G24" s="118"/>
      <c r="H24" s="119">
        <v>1400</v>
      </c>
    </row>
    <row r="25" spans="1:15" ht="15.75" customHeight="1" x14ac:dyDescent="0.2">
      <c r="A25" s="122" t="s">
        <v>482</v>
      </c>
      <c r="B25" s="6"/>
      <c r="C25" s="118"/>
      <c r="D25" s="119"/>
      <c r="F25" s="118"/>
      <c r="G25" s="123">
        <f t="shared" ref="G25:H25" si="0">SUM(G14:G24)</f>
        <v>10898</v>
      </c>
      <c r="H25" s="123">
        <f t="shared" si="0"/>
        <v>8448</v>
      </c>
    </row>
    <row r="26" spans="1:15" ht="15.75" customHeight="1" x14ac:dyDescent="0.2">
      <c r="A26" s="6"/>
      <c r="B26" s="118"/>
      <c r="C26" s="123"/>
      <c r="D26" s="123"/>
      <c r="F26" s="118"/>
      <c r="G26" s="118"/>
      <c r="H26" s="118"/>
    </row>
    <row r="27" spans="1:15" ht="15.75" customHeight="1" x14ac:dyDescent="0.2">
      <c r="A27" s="114" t="s">
        <v>493</v>
      </c>
      <c r="B27" s="118"/>
      <c r="C27" s="118"/>
      <c r="D27" s="118"/>
      <c r="F27" s="118"/>
      <c r="G27" s="118"/>
      <c r="H27" s="118"/>
    </row>
    <row r="28" spans="1:15" ht="15.75" customHeight="1" x14ac:dyDescent="0.2">
      <c r="A28" s="114" t="s">
        <v>494</v>
      </c>
      <c r="B28" s="128">
        <v>0.2</v>
      </c>
      <c r="C28" s="118"/>
      <c r="D28" s="118"/>
      <c r="F28" s="118"/>
      <c r="G28" s="119">
        <f>(G9-G25)*B28</f>
        <v>5320.4000000000005</v>
      </c>
      <c r="H28" s="118"/>
    </row>
    <row r="29" spans="1:15" ht="15.75" customHeight="1" x14ac:dyDescent="0.2">
      <c r="A29" s="6"/>
      <c r="B29" s="118"/>
      <c r="C29" s="119"/>
      <c r="D29" s="118"/>
      <c r="F29" s="118"/>
      <c r="G29" s="118"/>
      <c r="H29" s="118"/>
      <c r="J29" s="143"/>
    </row>
    <row r="30" spans="1:15" ht="16" x14ac:dyDescent="0.2">
      <c r="A30" s="114" t="s">
        <v>495</v>
      </c>
      <c r="B30" s="118"/>
      <c r="C30" s="119"/>
      <c r="D30" s="118"/>
      <c r="F30" s="118"/>
      <c r="G30" s="144">
        <f>G25+G28</f>
        <v>16218.400000000001</v>
      </c>
      <c r="H30" s="118"/>
      <c r="J30" s="145">
        <f>G30/F3</f>
        <v>6.4873600000000002E-3</v>
      </c>
      <c r="K30" s="146" t="s">
        <v>496</v>
      </c>
      <c r="L30" s="146"/>
      <c r="M30" s="146"/>
      <c r="N30" s="146"/>
      <c r="O30" s="146"/>
    </row>
    <row r="31" spans="1:15" ht="16" x14ac:dyDescent="0.2">
      <c r="A31" s="6"/>
      <c r="B31" s="118"/>
      <c r="C31" s="119"/>
      <c r="D31" s="118"/>
      <c r="F31" s="118"/>
      <c r="G31" s="118"/>
      <c r="H31" s="118"/>
      <c r="J31" s="145"/>
      <c r="K31" s="146"/>
      <c r="L31" s="146"/>
      <c r="M31" s="146"/>
      <c r="N31" s="146"/>
      <c r="O31" s="146"/>
    </row>
    <row r="32" spans="1:15" ht="16" x14ac:dyDescent="0.2">
      <c r="A32" s="122" t="s">
        <v>497</v>
      </c>
      <c r="B32" s="118"/>
      <c r="C32" s="118"/>
      <c r="D32" s="118"/>
      <c r="F32" s="118"/>
      <c r="G32" s="118"/>
      <c r="H32" s="118"/>
      <c r="J32" s="145"/>
      <c r="K32" s="146"/>
      <c r="L32" s="146"/>
      <c r="M32" s="146"/>
      <c r="N32" s="146"/>
      <c r="O32" s="146"/>
    </row>
    <row r="33" spans="1:15" ht="16" x14ac:dyDescent="0.2">
      <c r="A33" s="6" t="s">
        <v>498</v>
      </c>
      <c r="B33" s="118"/>
      <c r="C33" s="118"/>
      <c r="D33" s="118"/>
      <c r="F33" s="118"/>
      <c r="G33" s="147">
        <f>SUM(G9-G25-G28)</f>
        <v>21281.599999999999</v>
      </c>
      <c r="H33" s="118"/>
      <c r="I33" s="148"/>
      <c r="J33" s="149">
        <f>G33/F3</f>
        <v>8.5126400000000001E-3</v>
      </c>
      <c r="K33" s="150" t="s">
        <v>499</v>
      </c>
      <c r="L33" s="146"/>
      <c r="M33" s="146"/>
      <c r="N33" s="146"/>
      <c r="O33" s="146"/>
    </row>
    <row r="34" spans="1:15" ht="16" x14ac:dyDescent="0.2">
      <c r="A34" s="6" t="s">
        <v>500</v>
      </c>
      <c r="B34" s="118"/>
      <c r="C34" s="147"/>
      <c r="D34" s="118"/>
      <c r="F34" s="6"/>
      <c r="G34" s="6"/>
      <c r="H34" s="147">
        <f>SUM(H10-H25)</f>
        <v>4052</v>
      </c>
      <c r="I34" s="6"/>
      <c r="J34" s="149">
        <f>H34/F3</f>
        <v>1.6207999999999999E-3</v>
      </c>
      <c r="K34" s="150" t="s">
        <v>501</v>
      </c>
      <c r="L34" s="146"/>
      <c r="M34" s="146"/>
      <c r="N34" s="146"/>
      <c r="O34" s="146"/>
    </row>
    <row r="35" spans="1:15" ht="16" x14ac:dyDescent="0.2">
      <c r="A35" s="6"/>
      <c r="B35" s="6"/>
      <c r="C35" s="6"/>
      <c r="D35" s="147"/>
      <c r="F35" s="6"/>
      <c r="G35" s="6"/>
      <c r="H35" s="118"/>
      <c r="I35" s="119"/>
      <c r="J35" s="118"/>
      <c r="K35" s="118"/>
    </row>
    <row r="36" spans="1:15" ht="16" x14ac:dyDescent="0.2">
      <c r="A36" s="6"/>
      <c r="B36" s="6"/>
      <c r="C36" s="6"/>
      <c r="D36" s="118"/>
      <c r="F36" s="6"/>
      <c r="G36" s="6"/>
      <c r="H36" s="6"/>
      <c r="I36" s="6"/>
      <c r="J36" s="6"/>
      <c r="K36" s="6"/>
    </row>
    <row r="37" spans="1:15" ht="16" x14ac:dyDescent="0.2">
      <c r="A37" s="114"/>
      <c r="B37" s="6"/>
      <c r="C37" s="6"/>
      <c r="D37" s="6"/>
      <c r="F37" s="6"/>
      <c r="G37" s="151"/>
      <c r="H37" s="151"/>
      <c r="I37" s="6"/>
      <c r="J37" s="115"/>
      <c r="K37" s="127"/>
    </row>
    <row r="38" spans="1:15" ht="16" x14ac:dyDescent="0.2">
      <c r="A38" s="6"/>
      <c r="B38" s="6"/>
      <c r="C38" s="151"/>
      <c r="D38" s="151"/>
      <c r="F38" s="6"/>
      <c r="G38" s="127"/>
      <c r="H38" s="6"/>
      <c r="I38" s="6"/>
      <c r="J38" s="115"/>
      <c r="K38" s="115"/>
    </row>
    <row r="39" spans="1:15" ht="16" x14ac:dyDescent="0.2">
      <c r="B39" s="6"/>
      <c r="C39" s="6"/>
      <c r="D39" s="6"/>
      <c r="G39" s="152"/>
      <c r="I39" s="127"/>
      <c r="J39" s="127"/>
      <c r="K39" s="127"/>
    </row>
    <row r="40" spans="1:15" ht="16" x14ac:dyDescent="0.2">
      <c r="B40" s="6"/>
      <c r="C40" s="6"/>
      <c r="D40" s="6"/>
      <c r="I40" s="127"/>
      <c r="J40" s="127"/>
      <c r="K40" s="127"/>
    </row>
    <row r="41" spans="1:15" ht="16" x14ac:dyDescent="0.2">
      <c r="B41" s="6"/>
      <c r="C41" s="6"/>
      <c r="D41" s="6"/>
      <c r="I41" s="6"/>
      <c r="J41" s="119"/>
      <c r="K41" s="118"/>
    </row>
    <row r="42" spans="1:15" ht="16" x14ac:dyDescent="0.2">
      <c r="I42" s="6"/>
      <c r="J42" s="118"/>
      <c r="K42" s="119"/>
    </row>
    <row r="43" spans="1:15" ht="16" x14ac:dyDescent="0.2">
      <c r="I43" s="118"/>
      <c r="J43" s="118"/>
      <c r="K43" s="118"/>
    </row>
    <row r="44" spans="1:15" ht="16" x14ac:dyDescent="0.2">
      <c r="I44" s="118"/>
      <c r="J44" s="118"/>
      <c r="K44" s="118"/>
    </row>
    <row r="45" spans="1:15" ht="16" x14ac:dyDescent="0.2">
      <c r="I45" s="118"/>
      <c r="J45" s="118"/>
      <c r="K45" s="118"/>
    </row>
    <row r="46" spans="1:15" ht="16" x14ac:dyDescent="0.2">
      <c r="I46" s="6"/>
      <c r="J46" s="119"/>
      <c r="K46" s="118"/>
    </row>
    <row r="47" spans="1:15" ht="16" x14ac:dyDescent="0.2">
      <c r="I47" s="6"/>
      <c r="J47" s="119"/>
      <c r="K47" s="119"/>
    </row>
    <row r="48" spans="1:15" ht="16" x14ac:dyDescent="0.2">
      <c r="I48" s="118"/>
      <c r="J48" s="118"/>
      <c r="K48" s="118"/>
    </row>
    <row r="49" spans="9:11" ht="16" x14ac:dyDescent="0.2">
      <c r="I49" s="118"/>
      <c r="J49" s="119"/>
      <c r="K49" s="119"/>
    </row>
    <row r="50" spans="9:11" ht="16" x14ac:dyDescent="0.2">
      <c r="I50" s="118"/>
      <c r="J50" s="119"/>
      <c r="K50" s="119"/>
    </row>
    <row r="51" spans="9:11" ht="16" x14ac:dyDescent="0.2">
      <c r="I51" s="118"/>
      <c r="J51" s="119"/>
      <c r="K51" s="119"/>
    </row>
    <row r="52" spans="9:11" ht="16" x14ac:dyDescent="0.2">
      <c r="I52" s="118"/>
      <c r="J52" s="118"/>
      <c r="K52" s="118"/>
    </row>
    <row r="53" spans="9:11" ht="16" x14ac:dyDescent="0.2">
      <c r="I53" s="6"/>
      <c r="J53" s="119"/>
      <c r="K53" s="118"/>
    </row>
    <row r="54" spans="9:11" ht="16" x14ac:dyDescent="0.2">
      <c r="I54" s="118"/>
      <c r="J54" s="118"/>
      <c r="K54" s="119"/>
    </row>
    <row r="55" spans="9:11" ht="16" x14ac:dyDescent="0.2">
      <c r="I55" s="6"/>
      <c r="J55" s="119"/>
      <c r="K55" s="118"/>
    </row>
    <row r="56" spans="9:11" ht="16" x14ac:dyDescent="0.2">
      <c r="I56" s="6"/>
      <c r="J56" s="118"/>
      <c r="K56" s="119"/>
    </row>
    <row r="57" spans="9:11" ht="16" x14ac:dyDescent="0.2">
      <c r="I57" s="118"/>
      <c r="J57" s="123"/>
      <c r="K57" s="123"/>
    </row>
    <row r="58" spans="9:11" ht="16" x14ac:dyDescent="0.2">
      <c r="I58" s="118"/>
      <c r="J58" s="118"/>
      <c r="K58" s="118"/>
    </row>
    <row r="59" spans="9:11" ht="16" x14ac:dyDescent="0.2">
      <c r="I59" s="118"/>
      <c r="J59" s="118"/>
      <c r="K59" s="118"/>
    </row>
    <row r="60" spans="9:11" ht="16" x14ac:dyDescent="0.2">
      <c r="I60" s="118"/>
      <c r="J60" s="119"/>
      <c r="K60" s="118"/>
    </row>
    <row r="61" spans="9:11" ht="16" x14ac:dyDescent="0.2">
      <c r="I61" s="118"/>
      <c r="J61" s="118"/>
      <c r="K61" s="118"/>
    </row>
    <row r="62" spans="9:11" ht="16" x14ac:dyDescent="0.2">
      <c r="I62" s="118"/>
      <c r="J62" s="118"/>
      <c r="K62" s="118"/>
    </row>
    <row r="63" spans="9:11" ht="16" x14ac:dyDescent="0.2">
      <c r="I63" s="118"/>
      <c r="J63" s="147"/>
      <c r="K63" s="118"/>
    </row>
    <row r="64" spans="9:11" ht="16" x14ac:dyDescent="0.2">
      <c r="I64" s="6"/>
      <c r="J64" s="6"/>
      <c r="K64" s="147"/>
    </row>
    <row r="65" spans="9:11" ht="16" x14ac:dyDescent="0.2">
      <c r="I65" s="6"/>
      <c r="J65" s="6"/>
      <c r="K65" s="118"/>
    </row>
    <row r="66" spans="9:11" ht="16" x14ac:dyDescent="0.2">
      <c r="I66" s="6"/>
      <c r="J66" s="6"/>
      <c r="K66" s="6"/>
    </row>
    <row r="67" spans="9:11" ht="16" x14ac:dyDescent="0.2">
      <c r="I67" s="6"/>
      <c r="J67" s="151"/>
      <c r="K67" s="151"/>
    </row>
    <row r="68" spans="9:11" ht="16" x14ac:dyDescent="0.2">
      <c r="I68" s="6"/>
      <c r="J68" s="6"/>
      <c r="K68"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79"/>
  <sheetViews>
    <sheetView topLeftCell="A185" workbookViewId="0">
      <selection activeCell="A25" sqref="A25"/>
    </sheetView>
  </sheetViews>
  <sheetFormatPr baseColWidth="10" defaultColWidth="12.6640625" defaultRowHeight="15.75" customHeight="1" x14ac:dyDescent="0.15"/>
  <sheetData>
    <row r="1" spans="1:26" ht="47" customHeight="1" x14ac:dyDescent="0.45">
      <c r="A1" s="3" t="s">
        <v>17</v>
      </c>
    </row>
    <row r="2" spans="1:26" ht="13" x14ac:dyDescent="0.15">
      <c r="A2" s="4" t="s">
        <v>18</v>
      </c>
    </row>
    <row r="3" spans="1:26" ht="13" x14ac:dyDescent="0.15">
      <c r="A3" s="4" t="s">
        <v>19</v>
      </c>
    </row>
    <row r="4" spans="1:26" ht="13" x14ac:dyDescent="0.15">
      <c r="A4" s="4" t="s">
        <v>20</v>
      </c>
    </row>
    <row r="5" spans="1:26" ht="13" x14ac:dyDescent="0.15">
      <c r="A5" s="4" t="s">
        <v>21</v>
      </c>
    </row>
    <row r="6" spans="1:26" ht="13" x14ac:dyDescent="0.15">
      <c r="A6" s="4" t="s">
        <v>22</v>
      </c>
    </row>
    <row r="7" spans="1:26" ht="13" x14ac:dyDescent="0.15">
      <c r="A7" s="4" t="s">
        <v>23</v>
      </c>
    </row>
    <row r="8" spans="1:26" ht="13" x14ac:dyDescent="0.15">
      <c r="A8" s="4" t="s">
        <v>24</v>
      </c>
    </row>
    <row r="13" spans="1:26" ht="20" customHeight="1" x14ac:dyDescent="0.25">
      <c r="A13" s="5" t="s">
        <v>25</v>
      </c>
      <c r="B13" s="6"/>
      <c r="C13" s="6"/>
      <c r="D13" s="6"/>
      <c r="E13" s="6"/>
      <c r="F13" s="6"/>
      <c r="G13" s="6"/>
      <c r="H13" s="6"/>
      <c r="I13" s="6"/>
      <c r="J13" s="6"/>
      <c r="K13" s="6"/>
      <c r="L13" s="6"/>
      <c r="M13" s="6"/>
      <c r="N13" s="6"/>
      <c r="O13" s="6"/>
      <c r="P13" s="6"/>
      <c r="Q13" s="6"/>
      <c r="R13" s="6"/>
      <c r="S13" s="6"/>
      <c r="T13" s="6"/>
      <c r="U13" s="6"/>
      <c r="V13" s="6"/>
      <c r="W13" s="6"/>
      <c r="X13" s="6"/>
      <c r="Y13" s="6"/>
      <c r="Z13" s="6"/>
    </row>
    <row r="14" spans="1:26" ht="15.75" customHeight="1" x14ac:dyDescent="0.2">
      <c r="A14" s="7" t="s">
        <v>26</v>
      </c>
      <c r="B14" s="6"/>
      <c r="C14" s="6"/>
      <c r="D14" s="6"/>
      <c r="E14" s="6"/>
      <c r="F14" s="6"/>
      <c r="G14" s="6"/>
      <c r="H14" s="6"/>
      <c r="I14" s="6"/>
      <c r="J14" s="6"/>
      <c r="K14" s="6"/>
      <c r="L14" s="6"/>
      <c r="M14" s="6"/>
      <c r="N14" s="6"/>
      <c r="O14" s="6"/>
      <c r="P14" s="6"/>
      <c r="Q14" s="6"/>
      <c r="R14" s="6"/>
      <c r="S14" s="6"/>
      <c r="T14" s="6"/>
      <c r="U14" s="6"/>
      <c r="V14" s="6"/>
      <c r="W14" s="6"/>
      <c r="X14" s="6"/>
      <c r="Y14" s="6"/>
      <c r="Z14" s="6"/>
    </row>
    <row r="15" spans="1:26" ht="15.75" customHeight="1" x14ac:dyDescent="0.2">
      <c r="A15" s="8" t="s">
        <v>27</v>
      </c>
      <c r="B15" s="6"/>
      <c r="C15" s="6"/>
      <c r="D15" s="6"/>
      <c r="E15" s="6"/>
      <c r="F15" s="6"/>
      <c r="G15" s="6"/>
      <c r="H15" s="6"/>
      <c r="I15" s="6"/>
      <c r="J15" s="6"/>
      <c r="K15" s="6"/>
      <c r="L15" s="6"/>
      <c r="M15" s="6"/>
      <c r="N15" s="6"/>
      <c r="O15" s="6"/>
      <c r="P15" s="6"/>
      <c r="Q15" s="6"/>
      <c r="R15" s="6"/>
      <c r="S15" s="6"/>
      <c r="T15" s="6"/>
      <c r="U15" s="6"/>
      <c r="V15" s="6"/>
      <c r="W15" s="6"/>
      <c r="X15" s="6"/>
      <c r="Y15" s="6"/>
      <c r="Z15" s="6"/>
    </row>
    <row r="16" spans="1:26" ht="13" x14ac:dyDescent="0.15">
      <c r="A16" s="4" t="s">
        <v>28</v>
      </c>
    </row>
    <row r="17" spans="1:26" ht="13" x14ac:dyDescent="0.15">
      <c r="A17" s="4" t="s">
        <v>29</v>
      </c>
    </row>
    <row r="18" spans="1:26" ht="15.75" customHeight="1" x14ac:dyDescent="0.2">
      <c r="A18" s="8"/>
      <c r="B18" s="6"/>
      <c r="C18" s="6"/>
      <c r="D18" s="6"/>
      <c r="E18" s="6"/>
      <c r="F18" s="6"/>
      <c r="G18" s="6"/>
      <c r="H18" s="6"/>
      <c r="I18" s="6"/>
      <c r="J18" s="6"/>
      <c r="K18" s="6"/>
      <c r="L18" s="6"/>
      <c r="M18" s="6"/>
      <c r="N18" s="6"/>
      <c r="O18" s="6"/>
      <c r="P18" s="6"/>
      <c r="Q18" s="6"/>
      <c r="R18" s="6"/>
      <c r="S18" s="6"/>
      <c r="T18" s="6"/>
      <c r="U18" s="6"/>
      <c r="V18" s="6"/>
      <c r="W18" s="6"/>
      <c r="X18" s="6"/>
      <c r="Y18" s="6"/>
      <c r="Z18" s="6"/>
    </row>
    <row r="19" spans="1:26" ht="15.75" customHeight="1" x14ac:dyDescent="0.2">
      <c r="A19" s="8" t="s">
        <v>30</v>
      </c>
      <c r="B19" s="6"/>
      <c r="C19" s="6"/>
      <c r="D19" s="6"/>
      <c r="E19" s="6"/>
      <c r="F19" s="6"/>
      <c r="G19" s="6"/>
      <c r="H19" s="6"/>
      <c r="I19" s="6"/>
      <c r="J19" s="6"/>
      <c r="K19" s="6"/>
      <c r="L19" s="6"/>
      <c r="M19" s="6"/>
      <c r="N19" s="6"/>
      <c r="O19" s="6"/>
      <c r="P19" s="6"/>
      <c r="Q19" s="6"/>
      <c r="R19" s="6"/>
      <c r="S19" s="6"/>
      <c r="T19" s="6"/>
      <c r="U19" s="6"/>
      <c r="V19" s="6"/>
      <c r="W19" s="6"/>
      <c r="X19" s="6"/>
      <c r="Y19" s="6"/>
      <c r="Z19" s="6"/>
    </row>
    <row r="20" spans="1:26" ht="15.7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5.75" customHeight="1" x14ac:dyDescent="0.2">
      <c r="A21" s="7" t="s">
        <v>31</v>
      </c>
      <c r="B21" s="6"/>
      <c r="C21" s="6"/>
      <c r="D21" s="6"/>
      <c r="E21" s="6"/>
      <c r="F21" s="6"/>
      <c r="G21" s="6"/>
      <c r="H21" s="6"/>
      <c r="I21" s="6"/>
      <c r="J21" s="6"/>
      <c r="K21" s="6"/>
      <c r="L21" s="6"/>
      <c r="M21" s="6"/>
      <c r="N21" s="6"/>
      <c r="O21" s="6"/>
      <c r="P21" s="6"/>
      <c r="Q21" s="6"/>
      <c r="R21" s="6"/>
      <c r="S21" s="6"/>
      <c r="T21" s="6"/>
      <c r="U21" s="6"/>
      <c r="V21" s="6"/>
      <c r="W21" s="6"/>
      <c r="X21" s="6"/>
      <c r="Y21" s="6"/>
      <c r="Z21" s="6"/>
    </row>
    <row r="22" spans="1:26" ht="15.75" customHeight="1" x14ac:dyDescent="0.2">
      <c r="A22" s="8" t="s">
        <v>32</v>
      </c>
      <c r="B22" s="6"/>
      <c r="C22" s="6"/>
      <c r="D22" s="6"/>
      <c r="E22" s="6"/>
      <c r="F22" s="6"/>
      <c r="G22" s="6"/>
      <c r="H22" s="6"/>
      <c r="I22" s="6"/>
      <c r="J22" s="6"/>
      <c r="K22" s="6"/>
      <c r="L22" s="6"/>
      <c r="M22" s="6"/>
      <c r="N22" s="6"/>
      <c r="O22" s="6"/>
      <c r="P22" s="6"/>
      <c r="Q22" s="6"/>
      <c r="R22" s="6"/>
      <c r="S22" s="6"/>
      <c r="T22" s="6"/>
      <c r="U22" s="6"/>
      <c r="V22" s="6"/>
      <c r="W22" s="6"/>
      <c r="X22" s="6"/>
      <c r="Y22" s="6"/>
      <c r="Z22" s="6"/>
    </row>
    <row r="23" spans="1:26" ht="15.7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5.75" customHeight="1" x14ac:dyDescent="0.2">
      <c r="A24" s="7" t="s">
        <v>33</v>
      </c>
      <c r="B24" s="6"/>
      <c r="C24" s="6"/>
      <c r="D24" s="6"/>
      <c r="E24" s="6"/>
      <c r="F24" s="6"/>
      <c r="G24" s="6"/>
      <c r="H24" s="6"/>
      <c r="I24" s="6"/>
      <c r="J24" s="6"/>
      <c r="K24" s="6"/>
      <c r="L24" s="6"/>
      <c r="M24" s="6"/>
      <c r="N24" s="6"/>
      <c r="O24" s="6"/>
      <c r="P24" s="6"/>
      <c r="Q24" s="6"/>
      <c r="R24" s="6"/>
      <c r="S24" s="6"/>
      <c r="T24" s="6"/>
      <c r="U24" s="6"/>
      <c r="V24" s="6"/>
      <c r="W24" s="6"/>
      <c r="X24" s="6"/>
      <c r="Y24" s="6"/>
      <c r="Z24" s="6"/>
    </row>
    <row r="25" spans="1:26" ht="15.75" customHeight="1" x14ac:dyDescent="0.2">
      <c r="A25" s="8" t="s">
        <v>34</v>
      </c>
      <c r="B25" s="6"/>
      <c r="C25" s="6"/>
      <c r="D25" s="6"/>
      <c r="E25" s="6"/>
      <c r="F25" s="6"/>
      <c r="G25" s="6"/>
      <c r="H25" s="6"/>
      <c r="I25" s="6"/>
      <c r="J25" s="6"/>
      <c r="K25" s="6"/>
      <c r="L25" s="6"/>
      <c r="M25" s="6"/>
      <c r="N25" s="6"/>
      <c r="O25" s="6"/>
      <c r="P25" s="6"/>
      <c r="Q25" s="6"/>
      <c r="R25" s="6"/>
      <c r="S25" s="6"/>
      <c r="T25" s="6"/>
      <c r="U25" s="6"/>
      <c r="V25" s="6"/>
      <c r="W25" s="6"/>
      <c r="X25" s="6"/>
      <c r="Y25" s="6"/>
      <c r="Z25" s="6"/>
    </row>
    <row r="26" spans="1:26" ht="15.75" customHeight="1" x14ac:dyDescent="0.2">
      <c r="A26" s="8" t="s">
        <v>35</v>
      </c>
      <c r="B26" s="6"/>
      <c r="C26" s="6"/>
      <c r="D26" s="6"/>
      <c r="E26" s="6"/>
      <c r="F26" s="6"/>
      <c r="G26" s="6"/>
      <c r="H26" s="6"/>
      <c r="I26" s="6"/>
      <c r="J26" s="6"/>
      <c r="K26" s="6"/>
      <c r="L26" s="6"/>
      <c r="M26" s="6"/>
      <c r="N26" s="6"/>
      <c r="O26" s="6"/>
      <c r="P26" s="6"/>
      <c r="Q26" s="6"/>
      <c r="R26" s="6"/>
      <c r="S26" s="6"/>
      <c r="T26" s="6"/>
      <c r="U26" s="6"/>
      <c r="V26" s="6"/>
      <c r="W26" s="6"/>
      <c r="X26" s="6"/>
      <c r="Y26" s="6"/>
      <c r="Z26" s="6"/>
    </row>
    <row r="27" spans="1:26" ht="15.75" customHeight="1" x14ac:dyDescent="0.2">
      <c r="A27" s="8" t="s">
        <v>36</v>
      </c>
      <c r="B27" s="6"/>
      <c r="C27" s="6"/>
      <c r="D27" s="6"/>
      <c r="E27" s="6"/>
      <c r="F27" s="6"/>
      <c r="G27" s="6"/>
      <c r="H27" s="6"/>
      <c r="I27" s="6"/>
      <c r="J27" s="6"/>
      <c r="K27" s="6"/>
      <c r="L27" s="6"/>
      <c r="M27" s="6"/>
      <c r="N27" s="6"/>
      <c r="O27" s="6"/>
      <c r="P27" s="6"/>
      <c r="Q27" s="6"/>
      <c r="R27" s="6"/>
      <c r="S27" s="6"/>
      <c r="T27" s="6"/>
      <c r="U27" s="6"/>
      <c r="V27" s="6"/>
      <c r="W27" s="6"/>
      <c r="X27" s="6"/>
      <c r="Y27" s="6"/>
      <c r="Z27" s="6"/>
    </row>
    <row r="28" spans="1:26" ht="15.75" customHeight="1" x14ac:dyDescent="0.2">
      <c r="A28" s="8" t="s">
        <v>37</v>
      </c>
      <c r="B28" s="6"/>
      <c r="C28" s="6"/>
      <c r="D28" s="6"/>
      <c r="E28" s="6"/>
      <c r="F28" s="6"/>
      <c r="G28" s="6"/>
      <c r="H28" s="6"/>
      <c r="I28" s="6"/>
      <c r="J28" s="6"/>
      <c r="K28" s="6"/>
      <c r="L28" s="6"/>
      <c r="M28" s="6"/>
      <c r="N28" s="6"/>
      <c r="O28" s="6"/>
      <c r="P28" s="6"/>
      <c r="Q28" s="6"/>
      <c r="R28" s="6"/>
      <c r="S28" s="6"/>
      <c r="T28" s="6"/>
      <c r="U28" s="6"/>
      <c r="V28" s="6"/>
      <c r="W28" s="6"/>
      <c r="X28" s="6"/>
      <c r="Y28" s="6"/>
      <c r="Z28" s="6"/>
    </row>
    <row r="29" spans="1:26" ht="15.75" customHeight="1" x14ac:dyDescent="0.2">
      <c r="A29" s="8" t="s">
        <v>38</v>
      </c>
      <c r="B29" s="6"/>
      <c r="C29" s="6"/>
      <c r="D29" s="6"/>
      <c r="E29" s="6"/>
      <c r="F29" s="6"/>
      <c r="G29" s="6"/>
      <c r="H29" s="6"/>
      <c r="I29" s="6"/>
      <c r="J29" s="6"/>
      <c r="K29" s="6"/>
      <c r="L29" s="6"/>
      <c r="M29" s="6"/>
      <c r="N29" s="6"/>
      <c r="O29" s="6"/>
      <c r="P29" s="6"/>
      <c r="Q29" s="6"/>
      <c r="R29" s="6"/>
      <c r="S29" s="6"/>
      <c r="T29" s="6"/>
      <c r="U29" s="6"/>
      <c r="V29" s="6"/>
      <c r="W29" s="6"/>
      <c r="X29" s="6"/>
      <c r="Y29" s="6"/>
      <c r="Z29" s="6"/>
    </row>
    <row r="30" spans="1:26" ht="16" x14ac:dyDescent="0.2">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6" x14ac:dyDescent="0.2">
      <c r="A31" s="7" t="s">
        <v>39</v>
      </c>
      <c r="B31" s="6"/>
      <c r="C31" s="6"/>
      <c r="D31" s="6"/>
      <c r="E31" s="6"/>
      <c r="F31" s="6"/>
      <c r="G31" s="6"/>
      <c r="H31" s="6"/>
      <c r="I31" s="6"/>
      <c r="J31" s="6"/>
      <c r="K31" s="6"/>
      <c r="L31" s="6"/>
      <c r="M31" s="6"/>
      <c r="N31" s="6"/>
      <c r="O31" s="6"/>
      <c r="P31" s="6"/>
      <c r="Q31" s="6"/>
      <c r="R31" s="6"/>
      <c r="S31" s="6"/>
      <c r="T31" s="6"/>
      <c r="U31" s="6"/>
      <c r="V31" s="6"/>
      <c r="W31" s="6"/>
      <c r="X31" s="6"/>
      <c r="Y31" s="6"/>
      <c r="Z31" s="6"/>
    </row>
    <row r="32" spans="1:26" ht="16" x14ac:dyDescent="0.2">
      <c r="A32" s="8" t="s">
        <v>40</v>
      </c>
      <c r="B32" s="6"/>
      <c r="C32" s="6"/>
      <c r="D32" s="6"/>
      <c r="E32" s="6"/>
      <c r="F32" s="6"/>
      <c r="G32" s="6"/>
      <c r="H32" s="6"/>
      <c r="I32" s="6"/>
      <c r="J32" s="6"/>
      <c r="K32" s="6"/>
      <c r="L32" s="6"/>
      <c r="M32" s="6"/>
      <c r="N32" s="6"/>
      <c r="O32" s="6"/>
      <c r="P32" s="6"/>
      <c r="Q32" s="6"/>
      <c r="R32" s="6"/>
      <c r="S32" s="6"/>
      <c r="T32" s="6"/>
      <c r="U32" s="6"/>
      <c r="V32" s="6"/>
      <c r="W32" s="6"/>
      <c r="X32" s="6"/>
      <c r="Y32" s="6"/>
      <c r="Z32" s="6"/>
    </row>
    <row r="33" spans="1:26" ht="16"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6" x14ac:dyDescent="0.2">
      <c r="A34" s="7" t="s">
        <v>41</v>
      </c>
      <c r="B34" s="6"/>
      <c r="C34" s="6"/>
      <c r="D34" s="6"/>
      <c r="E34" s="6"/>
      <c r="F34" s="6"/>
      <c r="G34" s="6"/>
      <c r="H34" s="6"/>
      <c r="I34" s="6"/>
      <c r="J34" s="6"/>
      <c r="K34" s="6"/>
      <c r="L34" s="6"/>
      <c r="M34" s="6"/>
      <c r="N34" s="6"/>
      <c r="O34" s="6"/>
      <c r="P34" s="6"/>
      <c r="Q34" s="6"/>
      <c r="R34" s="6"/>
      <c r="S34" s="6"/>
      <c r="T34" s="6"/>
      <c r="U34" s="6"/>
      <c r="V34" s="6"/>
      <c r="W34" s="6"/>
      <c r="X34" s="6"/>
      <c r="Y34" s="6"/>
      <c r="Z34" s="6"/>
    </row>
    <row r="35" spans="1:26" ht="16" x14ac:dyDescent="0.2">
      <c r="A35" s="8" t="s">
        <v>42</v>
      </c>
      <c r="B35" s="6"/>
      <c r="C35" s="6"/>
      <c r="D35" s="6"/>
      <c r="E35" s="6"/>
      <c r="F35" s="6"/>
      <c r="G35" s="6"/>
      <c r="H35" s="6"/>
      <c r="I35" s="6"/>
      <c r="J35" s="6"/>
      <c r="K35" s="6"/>
      <c r="L35" s="6"/>
      <c r="M35" s="6"/>
      <c r="N35" s="6"/>
      <c r="O35" s="6"/>
      <c r="P35" s="6"/>
      <c r="Q35" s="6"/>
      <c r="R35" s="6"/>
      <c r="S35" s="6"/>
      <c r="T35" s="6"/>
      <c r="U35" s="6"/>
      <c r="V35" s="6"/>
      <c r="W35" s="6"/>
      <c r="X35" s="6"/>
      <c r="Y35" s="6"/>
      <c r="Z35" s="6"/>
    </row>
    <row r="36" spans="1:26" ht="16" x14ac:dyDescent="0.2">
      <c r="A36" s="8" t="s">
        <v>43</v>
      </c>
      <c r="B36" s="6"/>
      <c r="C36" s="6"/>
      <c r="D36" s="6"/>
      <c r="E36" s="6"/>
      <c r="F36" s="6"/>
      <c r="G36" s="6"/>
      <c r="H36" s="6"/>
      <c r="I36" s="6"/>
      <c r="J36" s="6"/>
      <c r="K36" s="6"/>
      <c r="L36" s="6"/>
      <c r="M36" s="6"/>
      <c r="N36" s="6"/>
      <c r="O36" s="6"/>
      <c r="P36" s="6"/>
      <c r="Q36" s="6"/>
      <c r="R36" s="6"/>
      <c r="S36" s="6"/>
      <c r="T36" s="6"/>
      <c r="U36" s="6"/>
      <c r="V36" s="6"/>
      <c r="W36" s="6"/>
      <c r="X36" s="6"/>
      <c r="Y36" s="6"/>
      <c r="Z36" s="6"/>
    </row>
    <row r="37" spans="1:26" ht="16" x14ac:dyDescent="0.2">
      <c r="A37" s="8" t="s">
        <v>44</v>
      </c>
      <c r="B37" s="6"/>
      <c r="C37" s="6"/>
      <c r="D37" s="6"/>
      <c r="E37" s="6"/>
      <c r="F37" s="6"/>
      <c r="G37" s="6"/>
      <c r="H37" s="6"/>
      <c r="I37" s="6"/>
      <c r="J37" s="6"/>
      <c r="K37" s="6"/>
      <c r="L37" s="6"/>
      <c r="M37" s="6"/>
      <c r="N37" s="6"/>
      <c r="O37" s="6"/>
      <c r="P37" s="6"/>
      <c r="Q37" s="6"/>
      <c r="R37" s="6"/>
      <c r="S37" s="6"/>
      <c r="T37" s="6"/>
      <c r="U37" s="6"/>
      <c r="V37" s="6"/>
      <c r="W37" s="6"/>
      <c r="X37" s="6"/>
      <c r="Y37" s="6"/>
      <c r="Z37" s="6"/>
    </row>
    <row r="38" spans="1:26" ht="16" x14ac:dyDescent="0.2">
      <c r="A38" s="8" t="s">
        <v>45</v>
      </c>
      <c r="B38" s="6"/>
      <c r="C38" s="6"/>
      <c r="D38" s="6"/>
      <c r="E38" s="6"/>
      <c r="F38" s="6"/>
      <c r="G38" s="6"/>
      <c r="H38" s="6"/>
      <c r="I38" s="6"/>
      <c r="J38" s="6"/>
      <c r="K38" s="6"/>
      <c r="L38" s="6"/>
      <c r="M38" s="6"/>
      <c r="N38" s="6"/>
      <c r="O38" s="6"/>
      <c r="P38" s="6"/>
      <c r="Q38" s="6"/>
      <c r="R38" s="6"/>
      <c r="S38" s="6"/>
      <c r="T38" s="6"/>
      <c r="U38" s="6"/>
      <c r="V38" s="6"/>
      <c r="W38" s="6"/>
      <c r="X38" s="6"/>
      <c r="Y38" s="6"/>
      <c r="Z38" s="6"/>
    </row>
    <row r="39" spans="1:26" ht="16"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6" x14ac:dyDescent="0.2">
      <c r="A40" s="7" t="s">
        <v>46</v>
      </c>
      <c r="B40" s="6"/>
      <c r="C40" s="6"/>
      <c r="D40" s="6"/>
      <c r="E40" s="6"/>
      <c r="F40" s="6"/>
      <c r="G40" s="6"/>
      <c r="H40" s="6"/>
      <c r="I40" s="6"/>
      <c r="J40" s="6"/>
      <c r="K40" s="6"/>
      <c r="L40" s="6"/>
      <c r="M40" s="6"/>
      <c r="N40" s="6"/>
      <c r="O40" s="6"/>
      <c r="P40" s="6"/>
      <c r="Q40" s="6"/>
      <c r="R40" s="6"/>
      <c r="S40" s="6"/>
      <c r="T40" s="6"/>
      <c r="U40" s="6"/>
      <c r="V40" s="6"/>
      <c r="W40" s="6"/>
      <c r="X40" s="6"/>
      <c r="Y40" s="6"/>
      <c r="Z40" s="6"/>
    </row>
    <row r="41" spans="1:26" ht="16" x14ac:dyDescent="0.2">
      <c r="A41" s="8" t="s">
        <v>47</v>
      </c>
      <c r="B41" s="6"/>
      <c r="C41" s="6"/>
      <c r="D41" s="6"/>
      <c r="E41" s="6"/>
      <c r="F41" s="6"/>
      <c r="G41" s="6"/>
      <c r="H41" s="6"/>
      <c r="I41" s="6"/>
      <c r="J41" s="6"/>
      <c r="K41" s="6"/>
      <c r="L41" s="6"/>
      <c r="M41" s="6"/>
      <c r="N41" s="6"/>
      <c r="O41" s="6"/>
      <c r="P41" s="6"/>
      <c r="Q41" s="6"/>
      <c r="R41" s="6"/>
      <c r="S41" s="6"/>
      <c r="T41" s="6"/>
      <c r="U41" s="6"/>
      <c r="V41" s="6"/>
      <c r="W41" s="6"/>
      <c r="X41" s="6"/>
      <c r="Y41" s="6"/>
      <c r="Z41" s="6"/>
    </row>
    <row r="42" spans="1:26" ht="16" x14ac:dyDescent="0.2">
      <c r="A42" s="8" t="s">
        <v>48</v>
      </c>
      <c r="B42" s="6"/>
      <c r="C42" s="6"/>
      <c r="D42" s="6"/>
      <c r="E42" s="6"/>
      <c r="F42" s="6"/>
      <c r="G42" s="6"/>
      <c r="H42" s="6"/>
      <c r="I42" s="6"/>
      <c r="J42" s="6"/>
      <c r="K42" s="6"/>
      <c r="L42" s="6"/>
      <c r="M42" s="6"/>
      <c r="N42" s="6"/>
      <c r="O42" s="6"/>
      <c r="P42" s="6"/>
      <c r="Q42" s="6"/>
      <c r="R42" s="6"/>
      <c r="S42" s="6"/>
      <c r="T42" s="6"/>
      <c r="U42" s="6"/>
      <c r="V42" s="6"/>
      <c r="W42" s="6"/>
      <c r="X42" s="6"/>
      <c r="Y42" s="6"/>
      <c r="Z42" s="6"/>
    </row>
    <row r="43" spans="1:26" ht="16" x14ac:dyDescent="0.2">
      <c r="A43" s="8" t="s">
        <v>49</v>
      </c>
      <c r="B43" s="6"/>
      <c r="C43" s="6"/>
      <c r="D43" s="6"/>
      <c r="E43" s="6"/>
      <c r="F43" s="6"/>
      <c r="G43" s="6"/>
      <c r="H43" s="6"/>
      <c r="I43" s="6"/>
      <c r="J43" s="6"/>
      <c r="K43" s="6"/>
      <c r="L43" s="6"/>
      <c r="M43" s="6"/>
      <c r="N43" s="6"/>
      <c r="O43" s="6"/>
      <c r="P43" s="6"/>
      <c r="Q43" s="6"/>
      <c r="R43" s="6"/>
      <c r="S43" s="6"/>
      <c r="T43" s="6"/>
      <c r="U43" s="6"/>
      <c r="V43" s="6"/>
      <c r="W43" s="6"/>
      <c r="X43" s="6"/>
      <c r="Y43" s="6"/>
      <c r="Z43" s="6"/>
    </row>
    <row r="44" spans="1:26" ht="16"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6" x14ac:dyDescent="0.2">
      <c r="A45" s="7" t="s">
        <v>50</v>
      </c>
      <c r="B45" s="6"/>
      <c r="C45" s="6"/>
      <c r="D45" s="6"/>
      <c r="E45" s="6"/>
      <c r="F45" s="6"/>
      <c r="G45" s="6"/>
      <c r="H45" s="6"/>
      <c r="I45" s="6"/>
      <c r="J45" s="6"/>
      <c r="K45" s="6"/>
      <c r="L45" s="6"/>
      <c r="M45" s="6"/>
      <c r="N45" s="6"/>
      <c r="O45" s="6"/>
      <c r="P45" s="6"/>
      <c r="Q45" s="6"/>
      <c r="R45" s="6"/>
      <c r="S45" s="6"/>
      <c r="T45" s="6"/>
      <c r="U45" s="6"/>
      <c r="V45" s="6"/>
      <c r="W45" s="6"/>
      <c r="X45" s="6"/>
      <c r="Y45" s="6"/>
      <c r="Z45" s="6"/>
    </row>
    <row r="46" spans="1:26" ht="16" x14ac:dyDescent="0.2">
      <c r="A46" s="8" t="s">
        <v>51</v>
      </c>
      <c r="B46" s="6"/>
      <c r="C46" s="6"/>
      <c r="D46" s="6"/>
      <c r="E46" s="6"/>
      <c r="F46" s="6"/>
      <c r="G46" s="6"/>
      <c r="H46" s="6"/>
      <c r="I46" s="6"/>
      <c r="J46" s="6"/>
      <c r="K46" s="6"/>
      <c r="L46" s="6"/>
      <c r="M46" s="6"/>
      <c r="N46" s="6"/>
      <c r="O46" s="6"/>
      <c r="P46" s="6"/>
      <c r="Q46" s="6"/>
      <c r="R46" s="6"/>
      <c r="S46" s="6"/>
      <c r="T46" s="6"/>
      <c r="U46" s="6"/>
      <c r="V46" s="6"/>
      <c r="W46" s="6"/>
      <c r="X46" s="6"/>
      <c r="Y46" s="6"/>
      <c r="Z46" s="6"/>
    </row>
    <row r="47" spans="1:26" ht="16"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6" x14ac:dyDescent="0.2">
      <c r="A48" s="7" t="s">
        <v>52</v>
      </c>
      <c r="B48" s="6"/>
      <c r="C48" s="6"/>
      <c r="D48" s="6"/>
      <c r="E48" s="6"/>
      <c r="F48" s="6"/>
      <c r="G48" s="6"/>
      <c r="H48" s="6"/>
      <c r="I48" s="6"/>
      <c r="J48" s="6"/>
      <c r="K48" s="6"/>
      <c r="L48" s="6"/>
      <c r="M48" s="6"/>
      <c r="N48" s="6"/>
      <c r="O48" s="6"/>
      <c r="P48" s="6"/>
      <c r="Q48" s="6"/>
      <c r="R48" s="6"/>
      <c r="S48" s="6"/>
      <c r="T48" s="6"/>
      <c r="U48" s="6"/>
      <c r="V48" s="6"/>
      <c r="W48" s="6"/>
      <c r="X48" s="6"/>
      <c r="Y48" s="6"/>
      <c r="Z48" s="6"/>
    </row>
    <row r="49" spans="1:26" ht="16" x14ac:dyDescent="0.2">
      <c r="A49" s="8" t="s">
        <v>53</v>
      </c>
      <c r="B49" s="6"/>
      <c r="C49" s="6"/>
      <c r="D49" s="6"/>
      <c r="E49" s="6"/>
      <c r="F49" s="6"/>
      <c r="G49" s="6"/>
      <c r="H49" s="6"/>
      <c r="I49" s="6"/>
      <c r="J49" s="6"/>
      <c r="K49" s="6"/>
      <c r="L49" s="6"/>
      <c r="M49" s="6"/>
      <c r="N49" s="6"/>
      <c r="O49" s="6"/>
      <c r="P49" s="6"/>
      <c r="Q49" s="6"/>
      <c r="R49" s="6"/>
      <c r="S49" s="6"/>
      <c r="T49" s="6"/>
      <c r="U49" s="6"/>
      <c r="V49" s="6"/>
      <c r="W49" s="6"/>
      <c r="X49" s="6"/>
      <c r="Y49" s="6"/>
      <c r="Z49" s="6"/>
    </row>
    <row r="50" spans="1:26" ht="16" x14ac:dyDescent="0.2">
      <c r="A50" s="8" t="s">
        <v>54</v>
      </c>
      <c r="B50" s="6"/>
      <c r="C50" s="6"/>
      <c r="D50" s="6"/>
      <c r="E50" s="6"/>
      <c r="F50" s="6"/>
      <c r="G50" s="6"/>
      <c r="H50" s="6"/>
      <c r="I50" s="6"/>
      <c r="J50" s="6"/>
      <c r="K50" s="6"/>
      <c r="L50" s="6"/>
      <c r="M50" s="6"/>
      <c r="N50" s="6"/>
      <c r="O50" s="6"/>
      <c r="P50" s="6"/>
      <c r="Q50" s="6"/>
      <c r="R50" s="6"/>
      <c r="S50" s="6"/>
      <c r="T50" s="6"/>
      <c r="U50" s="6"/>
      <c r="V50" s="6"/>
      <c r="W50" s="6"/>
      <c r="X50" s="6"/>
      <c r="Y50" s="6"/>
      <c r="Z50" s="6"/>
    </row>
    <row r="51" spans="1:26" ht="16" x14ac:dyDescent="0.2">
      <c r="A51" s="8" t="s">
        <v>55</v>
      </c>
      <c r="B51" s="6"/>
      <c r="C51" s="6"/>
      <c r="D51" s="6"/>
      <c r="E51" s="6"/>
      <c r="F51" s="6"/>
      <c r="G51" s="6"/>
      <c r="H51" s="6"/>
      <c r="I51" s="6"/>
      <c r="J51" s="6"/>
      <c r="K51" s="6"/>
      <c r="L51" s="6"/>
      <c r="M51" s="6"/>
      <c r="N51" s="6"/>
      <c r="O51" s="6"/>
      <c r="P51" s="6"/>
      <c r="Q51" s="6"/>
      <c r="R51" s="6"/>
      <c r="S51" s="6"/>
      <c r="T51" s="6"/>
      <c r="U51" s="6"/>
      <c r="V51" s="6"/>
      <c r="W51" s="6"/>
      <c r="X51" s="6"/>
      <c r="Y51" s="6"/>
      <c r="Z51" s="6"/>
    </row>
    <row r="52" spans="1:26" ht="16" x14ac:dyDescent="0.2">
      <c r="A52" s="8" t="s">
        <v>56</v>
      </c>
      <c r="B52" s="6"/>
      <c r="C52" s="6"/>
      <c r="D52" s="6"/>
      <c r="E52" s="6"/>
      <c r="F52" s="6"/>
      <c r="G52" s="6"/>
      <c r="H52" s="6"/>
      <c r="I52" s="6"/>
      <c r="J52" s="6"/>
      <c r="K52" s="6"/>
      <c r="L52" s="6"/>
      <c r="M52" s="6"/>
      <c r="N52" s="6"/>
      <c r="O52" s="6"/>
      <c r="P52" s="6"/>
      <c r="Q52" s="6"/>
      <c r="R52" s="6"/>
      <c r="S52" s="6"/>
      <c r="T52" s="6"/>
      <c r="U52" s="6"/>
      <c r="V52" s="6"/>
      <c r="W52" s="6"/>
      <c r="X52" s="6"/>
      <c r="Y52" s="6"/>
      <c r="Z52" s="6"/>
    </row>
    <row r="53" spans="1:26" ht="16" x14ac:dyDescent="0.2">
      <c r="A53" s="8" t="s">
        <v>57</v>
      </c>
      <c r="B53" s="6"/>
      <c r="C53" s="6"/>
      <c r="D53" s="6"/>
      <c r="E53" s="6"/>
      <c r="F53" s="6"/>
      <c r="G53" s="6"/>
      <c r="H53" s="6"/>
      <c r="I53" s="6"/>
      <c r="J53" s="6"/>
      <c r="K53" s="6"/>
      <c r="L53" s="6"/>
      <c r="M53" s="6"/>
      <c r="N53" s="6"/>
      <c r="O53" s="6"/>
      <c r="P53" s="6"/>
      <c r="Q53" s="6"/>
      <c r="R53" s="6"/>
      <c r="S53" s="6"/>
      <c r="T53" s="6"/>
      <c r="U53" s="6"/>
      <c r="V53" s="6"/>
      <c r="W53" s="6"/>
      <c r="X53" s="6"/>
      <c r="Y53" s="6"/>
      <c r="Z53" s="6"/>
    </row>
    <row r="54" spans="1:26" ht="16" x14ac:dyDescent="0.2">
      <c r="A54" s="7" t="s">
        <v>58</v>
      </c>
      <c r="B54" s="6"/>
      <c r="C54" s="6"/>
      <c r="D54" s="6"/>
      <c r="E54" s="6"/>
      <c r="F54" s="6"/>
      <c r="G54" s="6"/>
      <c r="H54" s="6"/>
      <c r="I54" s="6"/>
      <c r="J54" s="6"/>
      <c r="K54" s="6"/>
      <c r="L54" s="6"/>
      <c r="M54" s="6"/>
      <c r="N54" s="6"/>
      <c r="O54" s="6"/>
      <c r="P54" s="6"/>
      <c r="Q54" s="6"/>
      <c r="R54" s="6"/>
      <c r="S54" s="6"/>
      <c r="T54" s="6"/>
      <c r="U54" s="6"/>
      <c r="V54" s="6"/>
      <c r="W54" s="6"/>
      <c r="X54" s="6"/>
      <c r="Y54" s="6"/>
      <c r="Z54" s="6"/>
    </row>
    <row r="55" spans="1:26" ht="16"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6" x14ac:dyDescent="0.2">
      <c r="A56" s="7" t="s">
        <v>59</v>
      </c>
      <c r="B56" s="6"/>
      <c r="C56" s="6"/>
      <c r="D56" s="6"/>
      <c r="E56" s="6"/>
      <c r="F56" s="6"/>
      <c r="G56" s="6"/>
      <c r="H56" s="6"/>
      <c r="I56" s="6"/>
      <c r="J56" s="6"/>
      <c r="K56" s="6"/>
      <c r="L56" s="6"/>
      <c r="M56" s="6"/>
      <c r="N56" s="6"/>
      <c r="O56" s="6"/>
      <c r="P56" s="6"/>
      <c r="Q56" s="6"/>
      <c r="R56" s="6"/>
      <c r="S56" s="6"/>
      <c r="T56" s="6"/>
      <c r="U56" s="6"/>
      <c r="V56" s="6"/>
      <c r="W56" s="6"/>
      <c r="X56" s="6"/>
      <c r="Y56" s="6"/>
      <c r="Z56" s="6"/>
    </row>
    <row r="57" spans="1:26" ht="16" x14ac:dyDescent="0.2">
      <c r="A57" s="7" t="s">
        <v>60</v>
      </c>
      <c r="B57" s="6"/>
      <c r="C57" s="6"/>
      <c r="D57" s="6"/>
      <c r="E57" s="6"/>
      <c r="F57" s="6"/>
      <c r="G57" s="6"/>
      <c r="H57" s="6"/>
      <c r="I57" s="6"/>
      <c r="J57" s="6"/>
      <c r="K57" s="6"/>
      <c r="L57" s="6"/>
      <c r="M57" s="6"/>
      <c r="N57" s="6"/>
      <c r="O57" s="6"/>
      <c r="P57" s="6"/>
      <c r="Q57" s="6"/>
      <c r="R57" s="6"/>
      <c r="S57" s="6"/>
      <c r="T57" s="6"/>
      <c r="U57" s="6"/>
      <c r="V57" s="6"/>
      <c r="W57" s="6"/>
      <c r="X57" s="6"/>
      <c r="Y57" s="6"/>
      <c r="Z57" s="6"/>
    </row>
    <row r="58" spans="1:26" ht="16" x14ac:dyDescent="0.2">
      <c r="A58" s="8" t="s">
        <v>61</v>
      </c>
      <c r="B58" s="6"/>
      <c r="C58" s="6"/>
      <c r="D58" s="6"/>
      <c r="E58" s="6"/>
      <c r="F58" s="6"/>
      <c r="G58" s="6"/>
      <c r="H58" s="6"/>
      <c r="I58" s="6"/>
      <c r="J58" s="6"/>
      <c r="K58" s="6"/>
      <c r="L58" s="6"/>
      <c r="M58" s="6"/>
      <c r="N58" s="6"/>
      <c r="O58" s="6"/>
      <c r="P58" s="6"/>
      <c r="Q58" s="6"/>
      <c r="R58" s="6"/>
      <c r="S58" s="6"/>
      <c r="T58" s="6"/>
      <c r="U58" s="6"/>
      <c r="V58" s="6"/>
      <c r="W58" s="6"/>
      <c r="X58" s="6"/>
      <c r="Y58" s="6"/>
      <c r="Z58" s="6"/>
    </row>
    <row r="59" spans="1:26" ht="16" x14ac:dyDescent="0.2">
      <c r="A59" s="8" t="s">
        <v>62</v>
      </c>
      <c r="B59" s="6"/>
      <c r="C59" s="6"/>
      <c r="D59" s="6"/>
      <c r="E59" s="6"/>
      <c r="F59" s="6"/>
      <c r="G59" s="6"/>
      <c r="H59" s="6"/>
      <c r="I59" s="6"/>
      <c r="J59" s="6"/>
      <c r="K59" s="6"/>
      <c r="L59" s="6"/>
      <c r="M59" s="6"/>
      <c r="N59" s="6"/>
      <c r="O59" s="6"/>
      <c r="P59" s="6"/>
      <c r="Q59" s="6"/>
      <c r="R59" s="6"/>
      <c r="S59" s="6"/>
      <c r="T59" s="6"/>
      <c r="U59" s="6"/>
      <c r="V59" s="6"/>
      <c r="W59" s="6"/>
      <c r="X59" s="6"/>
      <c r="Y59" s="6"/>
      <c r="Z59" s="6"/>
    </row>
    <row r="60" spans="1:26" ht="16" x14ac:dyDescent="0.2">
      <c r="A60" s="8" t="s">
        <v>63</v>
      </c>
      <c r="B60" s="6"/>
      <c r="C60" s="6"/>
      <c r="D60" s="6"/>
      <c r="E60" s="6"/>
      <c r="F60" s="6"/>
      <c r="G60" s="6"/>
      <c r="H60" s="6"/>
      <c r="I60" s="6"/>
      <c r="J60" s="6"/>
      <c r="K60" s="6"/>
      <c r="L60" s="6"/>
      <c r="M60" s="6"/>
      <c r="N60" s="6"/>
      <c r="O60" s="6"/>
      <c r="P60" s="6"/>
      <c r="Q60" s="6"/>
      <c r="R60" s="6"/>
      <c r="S60" s="6"/>
      <c r="T60" s="6"/>
      <c r="U60" s="6"/>
      <c r="V60" s="6"/>
      <c r="W60" s="6"/>
      <c r="X60" s="6"/>
      <c r="Y60" s="6"/>
      <c r="Z60" s="6"/>
    </row>
    <row r="61" spans="1:26" ht="16"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6"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23" x14ac:dyDescent="0.25">
      <c r="A63" s="5" t="s">
        <v>64</v>
      </c>
      <c r="B63" s="6"/>
      <c r="C63" s="6"/>
      <c r="D63" s="6"/>
      <c r="E63" s="6"/>
      <c r="F63" s="6"/>
      <c r="G63" s="6"/>
      <c r="H63" s="6"/>
      <c r="I63" s="6"/>
      <c r="J63" s="6"/>
      <c r="K63" s="6"/>
      <c r="L63" s="6"/>
      <c r="M63" s="6"/>
      <c r="N63" s="6"/>
      <c r="O63" s="6"/>
      <c r="P63" s="6"/>
      <c r="Q63" s="6"/>
      <c r="R63" s="6"/>
      <c r="S63" s="6"/>
      <c r="T63" s="6"/>
      <c r="U63" s="6"/>
      <c r="V63" s="6"/>
      <c r="W63" s="6"/>
      <c r="X63" s="6"/>
      <c r="Y63" s="6"/>
      <c r="Z63" s="6"/>
    </row>
    <row r="64" spans="1:26" ht="16"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7" x14ac:dyDescent="0.2">
      <c r="A65" s="9" t="s">
        <v>65</v>
      </c>
      <c r="B65" s="6"/>
      <c r="C65" s="6"/>
      <c r="D65" s="6"/>
      <c r="E65" s="6"/>
      <c r="F65" s="6"/>
      <c r="G65" s="6"/>
      <c r="H65" s="6"/>
      <c r="I65" s="6"/>
      <c r="J65" s="6"/>
      <c r="K65" s="6"/>
      <c r="L65" s="6"/>
      <c r="M65" s="6"/>
      <c r="N65" s="6"/>
      <c r="O65" s="6"/>
      <c r="P65" s="6"/>
      <c r="Q65" s="6"/>
      <c r="R65" s="6"/>
      <c r="S65" s="6"/>
      <c r="T65" s="6"/>
      <c r="U65" s="6"/>
      <c r="V65" s="6"/>
      <c r="W65" s="6"/>
      <c r="X65" s="6"/>
      <c r="Y65" s="6"/>
      <c r="Z65" s="6"/>
    </row>
    <row r="66" spans="1:26" ht="16" x14ac:dyDescent="0.2">
      <c r="A66" s="8" t="s">
        <v>66</v>
      </c>
      <c r="B66" s="6"/>
      <c r="C66" s="6"/>
      <c r="D66" s="6"/>
      <c r="E66" s="6"/>
      <c r="F66" s="6"/>
      <c r="G66" s="6"/>
      <c r="H66" s="6"/>
      <c r="I66" s="6"/>
      <c r="J66" s="6"/>
      <c r="K66" s="6"/>
      <c r="L66" s="6"/>
      <c r="M66" s="6"/>
      <c r="N66" s="6"/>
      <c r="O66" s="6"/>
      <c r="P66" s="6"/>
      <c r="Q66" s="6"/>
      <c r="R66" s="6"/>
      <c r="S66" s="6"/>
      <c r="T66" s="6"/>
      <c r="U66" s="6"/>
      <c r="V66" s="6"/>
      <c r="W66" s="6"/>
      <c r="X66" s="6"/>
      <c r="Y66" s="6"/>
      <c r="Z66" s="6"/>
    </row>
    <row r="67" spans="1:26" ht="16" x14ac:dyDescent="0.2">
      <c r="A67" s="8" t="s">
        <v>67</v>
      </c>
      <c r="B67" s="6"/>
      <c r="C67" s="6"/>
      <c r="D67" s="6"/>
      <c r="E67" s="6"/>
      <c r="F67" s="6"/>
      <c r="G67" s="6"/>
      <c r="H67" s="6"/>
      <c r="I67" s="6"/>
      <c r="J67" s="6"/>
      <c r="K67" s="6"/>
      <c r="L67" s="6"/>
      <c r="M67" s="6"/>
      <c r="N67" s="6"/>
      <c r="O67" s="6"/>
      <c r="P67" s="6"/>
      <c r="Q67" s="6"/>
      <c r="R67" s="6"/>
      <c r="S67" s="6"/>
      <c r="T67" s="6"/>
      <c r="U67" s="6"/>
      <c r="V67" s="6"/>
      <c r="W67" s="6"/>
      <c r="X67" s="6"/>
      <c r="Y67" s="6"/>
      <c r="Z67" s="6"/>
    </row>
    <row r="68" spans="1:26" ht="16"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6" x14ac:dyDescent="0.2">
      <c r="A69" s="7" t="s">
        <v>68</v>
      </c>
      <c r="B69" s="6"/>
      <c r="C69" s="6"/>
      <c r="D69" s="6"/>
      <c r="E69" s="6"/>
      <c r="F69" s="6"/>
      <c r="G69" s="6"/>
      <c r="H69" s="6"/>
      <c r="I69" s="6"/>
      <c r="J69" s="6"/>
      <c r="K69" s="6"/>
      <c r="L69" s="6"/>
      <c r="M69" s="6"/>
      <c r="N69" s="6"/>
      <c r="O69" s="6"/>
      <c r="P69" s="6"/>
      <c r="Q69" s="6"/>
      <c r="R69" s="6"/>
      <c r="S69" s="6"/>
      <c r="T69" s="6"/>
      <c r="U69" s="6"/>
      <c r="V69" s="6"/>
      <c r="W69" s="6"/>
      <c r="X69" s="6"/>
      <c r="Y69" s="6"/>
      <c r="Z69" s="6"/>
    </row>
    <row r="70" spans="1:26" ht="16" x14ac:dyDescent="0.2">
      <c r="A70" s="7" t="s">
        <v>69</v>
      </c>
      <c r="B70" s="6"/>
      <c r="C70" s="6"/>
      <c r="D70" s="6"/>
      <c r="E70" s="6"/>
      <c r="F70" s="6"/>
      <c r="G70" s="6"/>
      <c r="H70" s="6"/>
      <c r="I70" s="6"/>
      <c r="J70" s="6"/>
      <c r="K70" s="6"/>
      <c r="L70" s="6"/>
      <c r="M70" s="6"/>
      <c r="N70" s="6"/>
      <c r="O70" s="6"/>
      <c r="P70" s="6"/>
      <c r="Q70" s="6"/>
      <c r="R70" s="6"/>
      <c r="S70" s="6"/>
      <c r="T70" s="6"/>
      <c r="U70" s="6"/>
      <c r="V70" s="6"/>
      <c r="W70" s="6"/>
      <c r="X70" s="6"/>
      <c r="Y70" s="6"/>
      <c r="Z70" s="6"/>
    </row>
    <row r="71" spans="1:26" ht="16" x14ac:dyDescent="0.2">
      <c r="A71" s="7" t="s">
        <v>70</v>
      </c>
      <c r="B71" s="6"/>
      <c r="C71" s="6"/>
      <c r="D71" s="6"/>
      <c r="E71" s="6"/>
      <c r="F71" s="6"/>
      <c r="G71" s="6"/>
      <c r="H71" s="6"/>
      <c r="I71" s="6"/>
      <c r="J71" s="6"/>
      <c r="K71" s="6"/>
      <c r="L71" s="6"/>
      <c r="M71" s="6"/>
      <c r="N71" s="6"/>
      <c r="O71" s="6"/>
      <c r="P71" s="6"/>
      <c r="Q71" s="6"/>
      <c r="R71" s="6"/>
      <c r="S71" s="6"/>
      <c r="T71" s="6"/>
      <c r="U71" s="6"/>
      <c r="V71" s="6"/>
      <c r="W71" s="6"/>
      <c r="X71" s="6"/>
      <c r="Y71" s="6"/>
      <c r="Z71" s="6"/>
    </row>
    <row r="72" spans="1:26" ht="16" x14ac:dyDescent="0.2">
      <c r="A72" s="7" t="s">
        <v>71</v>
      </c>
      <c r="B72" s="6"/>
      <c r="C72" s="6"/>
      <c r="D72" s="6"/>
      <c r="E72" s="6"/>
      <c r="F72" s="6"/>
      <c r="G72" s="6"/>
      <c r="H72" s="6"/>
      <c r="I72" s="6"/>
      <c r="J72" s="6"/>
      <c r="K72" s="6"/>
      <c r="L72" s="6"/>
      <c r="M72" s="6"/>
      <c r="N72" s="6"/>
      <c r="O72" s="6"/>
      <c r="P72" s="6"/>
      <c r="Q72" s="6"/>
      <c r="R72" s="6"/>
      <c r="S72" s="6"/>
      <c r="T72" s="6"/>
      <c r="U72" s="6"/>
      <c r="V72" s="6"/>
      <c r="W72" s="6"/>
      <c r="X72" s="6"/>
      <c r="Y72" s="6"/>
      <c r="Z72" s="6"/>
    </row>
    <row r="73" spans="1:26" ht="16" x14ac:dyDescent="0.2">
      <c r="A73" s="7" t="s">
        <v>72</v>
      </c>
      <c r="B73" s="6"/>
      <c r="C73" s="6"/>
      <c r="D73" s="6"/>
      <c r="E73" s="6"/>
      <c r="F73" s="6"/>
      <c r="G73" s="6"/>
      <c r="H73" s="6"/>
      <c r="I73" s="6"/>
      <c r="J73" s="6"/>
      <c r="K73" s="6"/>
      <c r="L73" s="6"/>
      <c r="M73" s="6"/>
      <c r="N73" s="6"/>
      <c r="O73" s="6"/>
      <c r="P73" s="6"/>
      <c r="Q73" s="6"/>
      <c r="R73" s="6"/>
      <c r="S73" s="6"/>
      <c r="T73" s="6"/>
      <c r="U73" s="6"/>
      <c r="V73" s="6"/>
      <c r="W73" s="6"/>
      <c r="X73" s="6"/>
      <c r="Y73" s="6"/>
      <c r="Z73" s="6"/>
    </row>
    <row r="74" spans="1:26" ht="16" x14ac:dyDescent="0.2">
      <c r="A74" s="8" t="s">
        <v>73</v>
      </c>
      <c r="B74" s="6"/>
      <c r="C74" s="6"/>
      <c r="D74" s="6"/>
      <c r="E74" s="6"/>
      <c r="F74" s="6"/>
      <c r="G74" s="6"/>
      <c r="H74" s="6"/>
      <c r="I74" s="6"/>
      <c r="J74" s="6"/>
      <c r="K74" s="6"/>
      <c r="L74" s="6"/>
      <c r="M74" s="6"/>
      <c r="N74" s="6"/>
      <c r="O74" s="6"/>
      <c r="P74" s="6"/>
      <c r="Q74" s="6"/>
      <c r="R74" s="6"/>
      <c r="S74" s="6"/>
      <c r="T74" s="6"/>
      <c r="U74" s="6"/>
      <c r="V74" s="6"/>
      <c r="W74" s="6"/>
      <c r="X74" s="6"/>
      <c r="Y74" s="6"/>
      <c r="Z74" s="6"/>
    </row>
    <row r="75" spans="1:26" ht="16"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6" x14ac:dyDescent="0.2">
      <c r="A76" s="8" t="s">
        <v>74</v>
      </c>
      <c r="B76" s="6"/>
      <c r="C76" s="6"/>
      <c r="D76" s="6"/>
      <c r="E76" s="6"/>
      <c r="F76" s="6"/>
      <c r="G76" s="6"/>
      <c r="H76" s="6"/>
      <c r="I76" s="6"/>
      <c r="J76" s="6"/>
      <c r="K76" s="6"/>
      <c r="L76" s="6"/>
      <c r="M76" s="6"/>
      <c r="N76" s="6"/>
      <c r="O76" s="6"/>
      <c r="P76" s="6"/>
      <c r="Q76" s="6"/>
      <c r="R76" s="6"/>
      <c r="S76" s="6"/>
      <c r="T76" s="6"/>
      <c r="U76" s="6"/>
      <c r="V76" s="6"/>
      <c r="W76" s="6"/>
      <c r="X76" s="6"/>
      <c r="Y76" s="6"/>
      <c r="Z76" s="6"/>
    </row>
    <row r="77" spans="1:26" ht="16" x14ac:dyDescent="0.2">
      <c r="A77" s="8" t="s">
        <v>75</v>
      </c>
      <c r="B77" s="6"/>
      <c r="C77" s="6"/>
      <c r="D77" s="6"/>
      <c r="E77" s="6"/>
      <c r="F77" s="6"/>
      <c r="G77" s="6"/>
      <c r="H77" s="6"/>
      <c r="I77" s="6"/>
      <c r="J77" s="6"/>
      <c r="K77" s="6"/>
      <c r="L77" s="6"/>
      <c r="M77" s="6"/>
      <c r="N77" s="6"/>
      <c r="O77" s="6"/>
      <c r="P77" s="6"/>
      <c r="Q77" s="6"/>
      <c r="R77" s="6"/>
      <c r="S77" s="6"/>
      <c r="T77" s="6"/>
      <c r="U77" s="6"/>
      <c r="V77" s="6"/>
      <c r="W77" s="6"/>
      <c r="X77" s="6"/>
      <c r="Y77" s="6"/>
      <c r="Z77" s="6"/>
    </row>
    <row r="78" spans="1:26" ht="16" x14ac:dyDescent="0.2">
      <c r="A78" s="8" t="s">
        <v>76</v>
      </c>
      <c r="B78" s="6"/>
      <c r="C78" s="6"/>
      <c r="D78" s="6"/>
      <c r="E78" s="6"/>
      <c r="F78" s="6"/>
      <c r="G78" s="6"/>
      <c r="H78" s="6"/>
      <c r="I78" s="6"/>
      <c r="J78" s="6"/>
      <c r="K78" s="6"/>
      <c r="L78" s="6"/>
      <c r="M78" s="6"/>
      <c r="N78" s="6"/>
      <c r="O78" s="6"/>
      <c r="P78" s="6"/>
      <c r="Q78" s="6"/>
      <c r="R78" s="6"/>
      <c r="S78" s="6"/>
      <c r="T78" s="6"/>
      <c r="U78" s="6"/>
      <c r="V78" s="6"/>
      <c r="W78" s="6"/>
      <c r="X78" s="6"/>
      <c r="Y78" s="6"/>
      <c r="Z78" s="6"/>
    </row>
    <row r="79" spans="1:26" ht="16"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3:P42"/>
  <sheetViews>
    <sheetView workbookViewId="0">
      <selection activeCell="J15" sqref="J15"/>
    </sheetView>
  </sheetViews>
  <sheetFormatPr baseColWidth="10" defaultColWidth="12.6640625" defaultRowHeight="15.75" customHeight="1" x14ac:dyDescent="0.15"/>
  <cols>
    <col min="3" max="3" width="18.5" customWidth="1"/>
    <col min="4" max="4" width="14.1640625" bestFit="1" customWidth="1"/>
    <col min="5" max="6" width="15.1640625" bestFit="1" customWidth="1"/>
    <col min="7" max="7" width="16.1640625" bestFit="1" customWidth="1"/>
    <col min="8" max="8" width="15.83203125" customWidth="1"/>
    <col min="11" max="11" width="21.83203125" bestFit="1" customWidth="1"/>
    <col min="12" max="14" width="15.1640625" bestFit="1" customWidth="1"/>
    <col min="15" max="16" width="16.1640625" bestFit="1" customWidth="1"/>
  </cols>
  <sheetData>
    <row r="3" spans="2:16" ht="15.75" customHeight="1" x14ac:dyDescent="0.15">
      <c r="K3" s="160" t="s">
        <v>507</v>
      </c>
      <c r="L3" s="161">
        <f>'4. Cap Table'!D23</f>
        <v>1.25</v>
      </c>
    </row>
    <row r="5" spans="2:16" ht="13" x14ac:dyDescent="0.15">
      <c r="B5" s="189" t="s">
        <v>77</v>
      </c>
      <c r="C5" s="190"/>
      <c r="D5" s="190"/>
      <c r="E5" s="190"/>
      <c r="F5" s="190"/>
      <c r="G5" s="190"/>
      <c r="H5" s="191"/>
    </row>
    <row r="6" spans="2:16" ht="13" x14ac:dyDescent="0.15">
      <c r="B6" s="192"/>
      <c r="C6" s="193"/>
      <c r="D6" s="193"/>
      <c r="E6" s="193"/>
      <c r="F6" s="193"/>
      <c r="G6" s="193"/>
      <c r="H6" s="194"/>
      <c r="L6" s="158" t="str">
        <f>D7</f>
        <v xml:space="preserve">Year 1 </v>
      </c>
      <c r="M6" s="158" t="str">
        <f t="shared" ref="M6:P6" si="0">E7</f>
        <v>Year 2</v>
      </c>
      <c r="N6" s="158" t="str">
        <f t="shared" si="0"/>
        <v>Year 3</v>
      </c>
      <c r="O6" s="158" t="str">
        <f t="shared" si="0"/>
        <v>Year 4</v>
      </c>
      <c r="P6" s="158" t="str">
        <f t="shared" si="0"/>
        <v>Year 5</v>
      </c>
    </row>
    <row r="7" spans="2:16" ht="13" x14ac:dyDescent="0.15">
      <c r="B7" s="10"/>
      <c r="C7" s="11"/>
      <c r="D7" s="12" t="s">
        <v>78</v>
      </c>
      <c r="E7" s="12" t="s">
        <v>79</v>
      </c>
      <c r="F7" s="12" t="s">
        <v>80</v>
      </c>
      <c r="G7" s="12" t="s">
        <v>81</v>
      </c>
      <c r="H7" s="12" t="s">
        <v>82</v>
      </c>
      <c r="K7" s="159" t="s">
        <v>502</v>
      </c>
      <c r="L7" s="155">
        <f>'4. Cap Table'!B31</f>
        <v>14100000</v>
      </c>
      <c r="M7" s="155">
        <f>L7</f>
        <v>14100000</v>
      </c>
      <c r="N7" s="155">
        <f t="shared" ref="N7:P7" si="1">M7</f>
        <v>14100000</v>
      </c>
      <c r="O7" s="155">
        <f t="shared" si="1"/>
        <v>14100000</v>
      </c>
      <c r="P7" s="155">
        <f t="shared" si="1"/>
        <v>14100000</v>
      </c>
    </row>
    <row r="8" spans="2:16" ht="15.75" customHeight="1" x14ac:dyDescent="0.2">
      <c r="B8" s="13" t="s">
        <v>83</v>
      </c>
      <c r="C8" s="14"/>
      <c r="D8" s="15">
        <f>'6. Income Statement'!E26</f>
        <v>9147812.9928368274</v>
      </c>
      <c r="E8" s="15">
        <f>'6. Income Statement'!F26</f>
        <v>20414411.80054377</v>
      </c>
      <c r="F8" s="15">
        <f>'6. Income Statement'!G26</f>
        <v>37963159.279964551</v>
      </c>
      <c r="G8" s="15">
        <f>'6. Income Statement'!H26</f>
        <v>75986446.752175093</v>
      </c>
      <c r="H8" s="15">
        <f>'6. Income Statement'!I26</f>
        <v>148170694.57608503</v>
      </c>
      <c r="K8" s="153" t="s">
        <v>107</v>
      </c>
      <c r="L8" s="157">
        <f>D8</f>
        <v>9147812.9928368274</v>
      </c>
      <c r="M8" s="157">
        <f t="shared" ref="M8:P8" si="2">E8</f>
        <v>20414411.80054377</v>
      </c>
      <c r="N8" s="157">
        <f t="shared" si="2"/>
        <v>37963159.279964551</v>
      </c>
      <c r="O8" s="157">
        <f t="shared" si="2"/>
        <v>75986446.752175093</v>
      </c>
      <c r="P8" s="157">
        <f t="shared" si="2"/>
        <v>148170694.57608503</v>
      </c>
    </row>
    <row r="9" spans="2:16" ht="15.75" customHeight="1" x14ac:dyDescent="0.2">
      <c r="B9" s="16"/>
      <c r="C9" s="17" t="s">
        <v>84</v>
      </c>
      <c r="D9" s="15">
        <f>'6. Income Statement'!E35</f>
        <v>524648</v>
      </c>
      <c r="E9" s="15">
        <f>'6. Income Statement'!F35</f>
        <v>524648</v>
      </c>
      <c r="F9" s="15">
        <f>'6. Income Statement'!G35</f>
        <v>887648</v>
      </c>
      <c r="G9" s="15">
        <f>'6. Income Statement'!H35</f>
        <v>887648</v>
      </c>
      <c r="H9" s="15">
        <f>'6. Income Statement'!I35</f>
        <v>998648</v>
      </c>
      <c r="K9" s="153" t="s">
        <v>503</v>
      </c>
      <c r="L9" s="162">
        <v>2.5</v>
      </c>
      <c r="M9" s="162">
        <v>2.25</v>
      </c>
      <c r="N9" s="162">
        <v>2</v>
      </c>
      <c r="O9" s="162">
        <v>1.75</v>
      </c>
      <c r="P9" s="162">
        <v>1.5</v>
      </c>
    </row>
    <row r="10" spans="2:16" ht="15.75" customHeight="1" x14ac:dyDescent="0.2">
      <c r="B10" s="18" t="s">
        <v>85</v>
      </c>
      <c r="C10" s="14"/>
      <c r="D10" s="15">
        <f>'6. Income Statement'!E36</f>
        <v>8623164.9928368274</v>
      </c>
      <c r="E10" s="15">
        <f>'6. Income Statement'!F36</f>
        <v>19889763.80054377</v>
      </c>
      <c r="F10" s="15">
        <f>'6. Income Statement'!G36</f>
        <v>37075511.279964551</v>
      </c>
      <c r="G10" s="15">
        <f>'6. Income Statement'!H36</f>
        <v>75098798.752175093</v>
      </c>
      <c r="H10" s="15">
        <f>'6. Income Statement'!I36</f>
        <v>147172046.57608503</v>
      </c>
      <c r="K10" s="153" t="s">
        <v>505</v>
      </c>
      <c r="L10" s="157">
        <f>L9*L8</f>
        <v>22869532.482092068</v>
      </c>
      <c r="M10" s="157">
        <f>M9*M8</f>
        <v>45932426.551223487</v>
      </c>
      <c r="N10" s="157">
        <f t="shared" ref="N10:P10" si="3">N9*N8</f>
        <v>75926318.559929103</v>
      </c>
      <c r="O10" s="157">
        <f t="shared" si="3"/>
        <v>132976281.81630641</v>
      </c>
      <c r="P10" s="157">
        <f t="shared" si="3"/>
        <v>222256041.86412755</v>
      </c>
    </row>
    <row r="11" spans="2:16" ht="15.75" customHeight="1" x14ac:dyDescent="0.2">
      <c r="B11" s="10"/>
      <c r="C11" s="19" t="s">
        <v>86</v>
      </c>
      <c r="D11" s="20">
        <f>'6. Income Statement'!E54</f>
        <v>2522076.9336898392</v>
      </c>
      <c r="E11" s="20">
        <f>'6. Income Statement'!F54</f>
        <v>2654107.2800000003</v>
      </c>
      <c r="F11" s="20">
        <f>'6. Income Statement'!G54</f>
        <v>4161017.898</v>
      </c>
      <c r="G11" s="20">
        <f>'6. Income Statement'!H54</f>
        <v>4577119.577800001</v>
      </c>
      <c r="H11" s="20">
        <f>'6. Income Statement'!I54</f>
        <v>5034831.4255800005</v>
      </c>
      <c r="K11" s="153" t="s">
        <v>504</v>
      </c>
      <c r="L11" s="156">
        <f>L10/L7</f>
        <v>1.6219526583044019</v>
      </c>
      <c r="M11" s="156">
        <f t="shared" ref="M11:P11" si="4">M10/M7</f>
        <v>3.2576189043420913</v>
      </c>
      <c r="N11" s="156">
        <f t="shared" si="4"/>
        <v>5.3848452879382345</v>
      </c>
      <c r="O11" s="156">
        <f t="shared" si="4"/>
        <v>9.4309419727876893</v>
      </c>
      <c r="P11" s="156">
        <f t="shared" si="4"/>
        <v>15.762839848519684</v>
      </c>
    </row>
    <row r="12" spans="2:16" ht="13" x14ac:dyDescent="0.15">
      <c r="B12" s="10"/>
      <c r="C12" s="11"/>
      <c r="D12" s="21"/>
      <c r="E12" s="21"/>
      <c r="F12" s="21"/>
      <c r="G12" s="21"/>
      <c r="H12" s="21"/>
      <c r="K12" s="153" t="s">
        <v>506</v>
      </c>
      <c r="L12" s="154">
        <f>SUM(L11-$L$3)/$L$3</f>
        <v>0.29756212664352155</v>
      </c>
      <c r="M12" s="154">
        <f t="shared" ref="M12:P12" si="5">SUM(M11-$L$3)/$L$3</f>
        <v>1.6060951234736731</v>
      </c>
      <c r="N12" s="154">
        <f t="shared" si="5"/>
        <v>3.3078762303505878</v>
      </c>
      <c r="O12" s="154">
        <f t="shared" si="5"/>
        <v>6.5447535782301518</v>
      </c>
      <c r="P12" s="154">
        <f t="shared" si="5"/>
        <v>11.610271878815748</v>
      </c>
    </row>
    <row r="13" spans="2:16" ht="15.75" customHeight="1" x14ac:dyDescent="0.2">
      <c r="B13" s="18" t="s">
        <v>87</v>
      </c>
      <c r="C13" s="14"/>
      <c r="D13" s="15">
        <f>'6. Income Statement'!E56</f>
        <v>6101088.0591469882</v>
      </c>
      <c r="E13" s="15">
        <f>'6. Income Statement'!F56</f>
        <v>17235656.520543769</v>
      </c>
      <c r="F13" s="15">
        <f>'6. Income Statement'!G56</f>
        <v>32914493.381964549</v>
      </c>
      <c r="G13" s="15">
        <f>'6. Income Statement'!H56</f>
        <v>70521679.174375087</v>
      </c>
      <c r="H13" s="15">
        <f>'6. Income Statement'!I56</f>
        <v>142137215.15050504</v>
      </c>
      <c r="K13" t="str">
        <f>K10</f>
        <v>Implied Value</v>
      </c>
      <c r="M13" s="157">
        <f>L9*M8</f>
        <v>51036029.501359425</v>
      </c>
      <c r="N13" s="157">
        <f>M9*N8</f>
        <v>85417108.379920244</v>
      </c>
      <c r="O13" s="157">
        <f>N9*O8</f>
        <v>151972893.50435019</v>
      </c>
      <c r="P13" s="157">
        <f>O9*P8</f>
        <v>259298715.50814879</v>
      </c>
    </row>
    <row r="14" spans="2:16" ht="15.75" customHeight="1" x14ac:dyDescent="0.2">
      <c r="B14" s="16"/>
      <c r="C14" s="17" t="s">
        <v>88</v>
      </c>
      <c r="D14" s="15">
        <f>'6. Income Statement'!E60</f>
        <v>0</v>
      </c>
      <c r="E14" s="15">
        <f>'6. Income Statement'!F60</f>
        <v>0</v>
      </c>
      <c r="F14" s="15">
        <f>'6. Income Statement'!G60</f>
        <v>0</v>
      </c>
      <c r="G14" s="15">
        <f>'6. Income Statement'!H60</f>
        <v>0</v>
      </c>
      <c r="H14" s="15">
        <f>'6. Income Statement'!I60</f>
        <v>0</v>
      </c>
      <c r="K14" t="str">
        <f t="shared" ref="K14:K15" si="6">K11</f>
        <v>Implied Share Price</v>
      </c>
      <c r="M14" s="156">
        <f>M13/M7</f>
        <v>3.6195765603801009</v>
      </c>
      <c r="N14" s="156">
        <f t="shared" ref="N14:P14" si="7">N13/N7</f>
        <v>6.0579509489305137</v>
      </c>
      <c r="O14" s="156">
        <f t="shared" si="7"/>
        <v>10.778219397471645</v>
      </c>
      <c r="P14" s="156">
        <f t="shared" si="7"/>
        <v>18.389979823272963</v>
      </c>
    </row>
    <row r="15" spans="2:16" ht="15.75" customHeight="1" x14ac:dyDescent="0.2">
      <c r="B15" s="16"/>
      <c r="C15" s="17" t="s">
        <v>89</v>
      </c>
      <c r="D15" s="20">
        <f>'6. Income Statement'!E66</f>
        <v>1361658.4924208676</v>
      </c>
      <c r="E15" s="20">
        <f>'6. Income Statement'!F66</f>
        <v>3699917.8693141914</v>
      </c>
      <c r="F15" s="20">
        <f>'6. Income Statement'!G66</f>
        <v>7068703.6102125552</v>
      </c>
      <c r="G15" s="20">
        <f>'6. Income Statement'!H66</f>
        <v>14966212.626618767</v>
      </c>
      <c r="H15" s="20">
        <f>'6. Income Statement'!I66</f>
        <v>30028785.181606058</v>
      </c>
      <c r="K15" t="str">
        <f t="shared" si="6"/>
        <v>Cash-Cash ROI</v>
      </c>
      <c r="M15" s="154">
        <f>SUM(M14-$L$3)/$L$3</f>
        <v>1.8956612483040807</v>
      </c>
      <c r="N15" s="154">
        <f t="shared" ref="N15:P15" si="8">SUM(N14-$L$3)/$L$3</f>
        <v>3.8463607591444111</v>
      </c>
      <c r="O15" s="154">
        <f t="shared" si="8"/>
        <v>7.6225755179773156</v>
      </c>
      <c r="P15" s="154">
        <f t="shared" si="8"/>
        <v>13.711983858618371</v>
      </c>
    </row>
    <row r="16" spans="2:16" ht="15.75" customHeight="1" x14ac:dyDescent="0.2">
      <c r="B16" s="22" t="s">
        <v>90</v>
      </c>
      <c r="C16" s="11"/>
      <c r="D16" s="20">
        <f>'6. Income Statement'!E69</f>
        <v>5122429.5667261202</v>
      </c>
      <c r="E16" s="20">
        <f>'6. Income Statement'!F69</f>
        <v>13918738.651229577</v>
      </c>
      <c r="F16" s="20">
        <f>'6. Income Statement'!G69</f>
        <v>26591789.771751992</v>
      </c>
      <c r="G16" s="20">
        <f>'6. Income Statement'!H69</f>
        <v>56301466.547756322</v>
      </c>
      <c r="H16" s="20">
        <f>'6. Income Statement'!I69</f>
        <v>112965429.96889898</v>
      </c>
      <c r="K16" t="str">
        <f>K13</f>
        <v>Implied Value</v>
      </c>
      <c r="M16" s="157"/>
      <c r="N16" s="157">
        <f>L9*N8</f>
        <v>94907898.199911386</v>
      </c>
      <c r="O16" s="157">
        <f>M9*O8</f>
        <v>170969505.19239396</v>
      </c>
      <c r="P16" s="157">
        <f>N9*P8</f>
        <v>296341389.15217006</v>
      </c>
    </row>
    <row r="17" spans="2:16" ht="15.75" customHeight="1" x14ac:dyDescent="0.2">
      <c r="B17" s="22"/>
      <c r="C17" s="11"/>
      <c r="D17" s="20"/>
      <c r="E17" s="20"/>
      <c r="F17" s="20"/>
      <c r="G17" s="20"/>
      <c r="H17" s="20"/>
      <c r="K17" t="str">
        <f t="shared" ref="K17:K18" si="9">K14</f>
        <v>Implied Share Price</v>
      </c>
      <c r="M17" s="157"/>
      <c r="N17" s="156">
        <f>N16/N7</f>
        <v>6.7310566099227938</v>
      </c>
      <c r="O17" s="156">
        <f t="shared" ref="O17:P17" si="10">O16/O7</f>
        <v>12.125496822155601</v>
      </c>
      <c r="P17" s="156">
        <f t="shared" si="10"/>
        <v>21.017119798026247</v>
      </c>
    </row>
    <row r="18" spans="2:16" ht="15.75" customHeight="1" x14ac:dyDescent="0.2">
      <c r="B18" s="22"/>
      <c r="C18" s="11"/>
      <c r="D18" s="20"/>
      <c r="E18" s="20"/>
      <c r="F18" s="20"/>
      <c r="G18" s="20"/>
      <c r="H18" s="20"/>
      <c r="K18" t="str">
        <f t="shared" si="9"/>
        <v>Cash-Cash ROI</v>
      </c>
      <c r="M18" s="157"/>
      <c r="N18" s="154">
        <f>SUM(N17-$L$3)/$L$3</f>
        <v>4.3848452879382354</v>
      </c>
      <c r="O18" s="154">
        <f t="shared" ref="O18:P18" si="11">SUM(O17-$L$3)/$L$3</f>
        <v>8.7003974577244811</v>
      </c>
      <c r="P18" s="154">
        <f t="shared" si="11"/>
        <v>15.813695838420998</v>
      </c>
    </row>
    <row r="19" spans="2:16" ht="15.75" customHeight="1" x14ac:dyDescent="0.2">
      <c r="B19" s="22"/>
      <c r="C19" s="11"/>
      <c r="D19" s="20"/>
      <c r="E19" s="20"/>
      <c r="F19" s="20"/>
      <c r="G19" s="20"/>
      <c r="H19" s="20"/>
      <c r="K19" t="str">
        <f>K16</f>
        <v>Implied Value</v>
      </c>
      <c r="M19" s="157"/>
      <c r="N19" s="157"/>
      <c r="O19" s="157">
        <f>L9*O8</f>
        <v>189966116.88043773</v>
      </c>
      <c r="P19" s="157">
        <f>M9*P8</f>
        <v>333384062.79619133</v>
      </c>
    </row>
    <row r="20" spans="2:16" ht="13" x14ac:dyDescent="0.15">
      <c r="B20" s="10"/>
      <c r="C20" s="11"/>
      <c r="D20" s="21"/>
      <c r="E20" s="21"/>
      <c r="F20" s="21"/>
      <c r="G20" s="21"/>
      <c r="H20" s="21"/>
      <c r="K20" t="str">
        <f t="shared" ref="K20:K21" si="12">K17</f>
        <v>Implied Share Price</v>
      </c>
      <c r="N20" s="157"/>
      <c r="O20" s="156">
        <f>O19/O7</f>
        <v>13.472774246839556</v>
      </c>
      <c r="P20" s="156">
        <f>P19/P7</f>
        <v>23.644259772779527</v>
      </c>
    </row>
    <row r="21" spans="2:16" ht="15.75" customHeight="1" x14ac:dyDescent="0.2">
      <c r="B21" s="18" t="s">
        <v>91</v>
      </c>
      <c r="C21" s="14"/>
      <c r="D21" s="15">
        <f>'6. Income Statement'!E62</f>
        <v>6101088.0591469882</v>
      </c>
      <c r="E21" s="15">
        <f>'6. Income Statement'!F62</f>
        <v>17235656.520543769</v>
      </c>
      <c r="F21" s="15">
        <f>'6. Income Statement'!G62</f>
        <v>32914493.381964549</v>
      </c>
      <c r="G21" s="15">
        <f>'6. Income Statement'!H62</f>
        <v>70521679.174375087</v>
      </c>
      <c r="H21" s="15">
        <f>'6. Income Statement'!I62</f>
        <v>142137215.15050504</v>
      </c>
      <c r="K21" t="str">
        <f t="shared" si="12"/>
        <v>Cash-Cash ROI</v>
      </c>
      <c r="N21" s="157"/>
      <c r="O21" s="154">
        <f>SUM(O20-$L$3)/$L$3</f>
        <v>9.7782193974716449</v>
      </c>
      <c r="P21" s="154">
        <f>SUM(P20-$L$3)/$L$3</f>
        <v>17.91540781822362</v>
      </c>
    </row>
    <row r="22" spans="2:16" ht="15.75" customHeight="1" x14ac:dyDescent="0.2">
      <c r="B22" s="10"/>
      <c r="C22" s="19" t="s">
        <v>92</v>
      </c>
      <c r="D22" s="23">
        <f>'6. Income Statement'!E63</f>
        <v>66.694499154327161</v>
      </c>
      <c r="E22" s="23">
        <f>'6. Income Statement'!F63</f>
        <v>84.428866669989816</v>
      </c>
      <c r="F22" s="23">
        <f>'6. Income Statement'!G63</f>
        <v>86.701143967582055</v>
      </c>
      <c r="G22" s="23">
        <f>'6. Income Statement'!H63</f>
        <v>92.808233821456355</v>
      </c>
      <c r="H22" s="23">
        <f>'6. Income Statement'!I63</f>
        <v>95.92802109564127</v>
      </c>
      <c r="K22" t="str">
        <f>K19</f>
        <v>Implied Value</v>
      </c>
      <c r="P22" s="157">
        <f>L9*P8</f>
        <v>370426736.44021261</v>
      </c>
    </row>
    <row r="23" spans="2:16" ht="13" x14ac:dyDescent="0.15">
      <c r="B23" s="10"/>
      <c r="C23" s="11"/>
      <c r="D23" s="21"/>
      <c r="E23" s="21"/>
      <c r="F23" s="21"/>
      <c r="G23" s="21"/>
      <c r="H23" s="21"/>
      <c r="K23" t="str">
        <f t="shared" ref="K23:K24" si="13">K20</f>
        <v>Implied Share Price</v>
      </c>
      <c r="P23" s="156">
        <f>P22/P7</f>
        <v>26.271399747532808</v>
      </c>
    </row>
    <row r="24" spans="2:16" ht="15.75" customHeight="1" x14ac:dyDescent="0.2">
      <c r="B24" s="18" t="s">
        <v>93</v>
      </c>
      <c r="C24" s="14"/>
      <c r="D24" s="24">
        <f>'7. Balance Sheet'!D11</f>
        <v>6501489.65672612</v>
      </c>
      <c r="E24" s="24">
        <f>'7. Balance Sheet'!E11</f>
        <v>20420228.307955697</v>
      </c>
      <c r="F24" s="24">
        <f>'7. Balance Sheet'!F11</f>
        <v>47012018.07970769</v>
      </c>
      <c r="G24" s="24">
        <f>'7. Balance Sheet'!G11</f>
        <v>103313484.62746401</v>
      </c>
      <c r="H24" s="24">
        <f>'7. Balance Sheet'!H11</f>
        <v>216278914.59636301</v>
      </c>
      <c r="K24" t="str">
        <f t="shared" si="13"/>
        <v>Cash-Cash ROI</v>
      </c>
      <c r="P24" s="154">
        <f>SUM(P23-$L$3)/$L$3</f>
        <v>20.017119798026247</v>
      </c>
    </row>
    <row r="25" spans="2:16" ht="15.75" customHeight="1" x14ac:dyDescent="0.2">
      <c r="B25" s="18" t="s">
        <v>94</v>
      </c>
      <c r="C25" s="14"/>
      <c r="D25" s="24">
        <f>'7. Balance Sheet'!D16</f>
        <v>0</v>
      </c>
      <c r="E25" s="24">
        <f>'7. Balance Sheet'!E16</f>
        <v>0</v>
      </c>
      <c r="F25" s="24">
        <f>'7. Balance Sheet'!F16</f>
        <v>0</v>
      </c>
      <c r="G25" s="24">
        <f>'7. Balance Sheet'!G16</f>
        <v>0</v>
      </c>
      <c r="H25" s="24">
        <f>'7. Balance Sheet'!H16</f>
        <v>0</v>
      </c>
    </row>
    <row r="26" spans="2:16" ht="15.75" customHeight="1" x14ac:dyDescent="0.2">
      <c r="B26" s="25" t="s">
        <v>95</v>
      </c>
      <c r="C26" s="11"/>
      <c r="D26" s="26">
        <f>'7. Balance Sheet'!D21</f>
        <v>0</v>
      </c>
      <c r="E26" s="26">
        <f>'7. Balance Sheet'!E21</f>
        <v>0</v>
      </c>
      <c r="F26" s="26">
        <f>'7. Balance Sheet'!F21</f>
        <v>0</v>
      </c>
      <c r="G26" s="26">
        <f>'7. Balance Sheet'!G21</f>
        <v>0</v>
      </c>
      <c r="H26" s="26">
        <f>'7. Balance Sheet'!H21</f>
        <v>0</v>
      </c>
    </row>
    <row r="27" spans="2:16" ht="15.75" customHeight="1" x14ac:dyDescent="0.2">
      <c r="B27" s="22" t="s">
        <v>96</v>
      </c>
      <c r="C27" s="11"/>
      <c r="D27" s="26">
        <f>'7. Balance Sheet'!D23</f>
        <v>6501489.65672612</v>
      </c>
      <c r="E27" s="26">
        <f>'7. Balance Sheet'!E23</f>
        <v>20420228.307955697</v>
      </c>
      <c r="F27" s="26">
        <f>'7. Balance Sheet'!F23</f>
        <v>47012018.07970769</v>
      </c>
      <c r="G27" s="26">
        <f>'7. Balance Sheet'!G23</f>
        <v>103313484.62746401</v>
      </c>
      <c r="H27" s="26">
        <f>'7. Balance Sheet'!H23</f>
        <v>216278914.59636301</v>
      </c>
    </row>
    <row r="28" spans="2:16" ht="13" x14ac:dyDescent="0.15">
      <c r="B28" s="10"/>
      <c r="C28" s="11"/>
      <c r="D28" s="11"/>
      <c r="E28" s="11"/>
      <c r="F28" s="11"/>
      <c r="G28" s="11"/>
      <c r="H28" s="11"/>
    </row>
    <row r="29" spans="2:16" ht="15.75" customHeight="1" x14ac:dyDescent="0.2">
      <c r="B29" s="18" t="s">
        <v>97</v>
      </c>
      <c r="C29" s="14"/>
      <c r="D29" s="27">
        <f>'7. Balance Sheet'!D29</f>
        <v>0</v>
      </c>
      <c r="E29" s="27">
        <f>'7. Balance Sheet'!E29</f>
        <v>0</v>
      </c>
      <c r="F29" s="27">
        <f>'7. Balance Sheet'!F29</f>
        <v>0</v>
      </c>
      <c r="G29" s="27">
        <f>'7. Balance Sheet'!G29</f>
        <v>0</v>
      </c>
      <c r="H29" s="27">
        <f>'7. Balance Sheet'!H29</f>
        <v>0</v>
      </c>
    </row>
    <row r="30" spans="2:16" ht="15.75" customHeight="1" x14ac:dyDescent="0.2">
      <c r="B30" s="25" t="s">
        <v>98</v>
      </c>
      <c r="C30" s="11"/>
      <c r="D30" s="11">
        <f>'7. Balance Sheet'!D33</f>
        <v>0</v>
      </c>
      <c r="E30" s="11">
        <f>'7. Balance Sheet'!E33</f>
        <v>0</v>
      </c>
      <c r="F30" s="11">
        <f>'7. Balance Sheet'!F33</f>
        <v>0</v>
      </c>
      <c r="G30" s="11">
        <f>'7. Balance Sheet'!G33</f>
        <v>0</v>
      </c>
      <c r="H30" s="11">
        <f>'7. Balance Sheet'!H33</f>
        <v>0</v>
      </c>
    </row>
    <row r="31" spans="2:16" ht="13" x14ac:dyDescent="0.15">
      <c r="B31" s="10"/>
      <c r="C31" s="11"/>
      <c r="D31" s="11"/>
      <c r="E31" s="11"/>
      <c r="F31" s="11"/>
      <c r="G31" s="11"/>
      <c r="H31" s="11"/>
    </row>
    <row r="32" spans="2:16" ht="15.75" customHeight="1" x14ac:dyDescent="0.2">
      <c r="B32" s="18" t="s">
        <v>99</v>
      </c>
      <c r="C32" s="14"/>
      <c r="D32" s="15">
        <f>'7. Balance Sheet'!D41</f>
        <v>6501489.65672612</v>
      </c>
      <c r="E32" s="15">
        <f>'7. Balance Sheet'!E41</f>
        <v>20420228.307955697</v>
      </c>
      <c r="F32" s="15">
        <f>'7. Balance Sheet'!F41</f>
        <v>47012018.079707697</v>
      </c>
      <c r="G32" s="15">
        <f>'7. Balance Sheet'!G41</f>
        <v>103313484.62746403</v>
      </c>
      <c r="H32" s="15">
        <f>'7. Balance Sheet'!H41</f>
        <v>216278914.59636301</v>
      </c>
    </row>
    <row r="33" spans="2:8" ht="14" x14ac:dyDescent="0.2">
      <c r="B33" s="25" t="s">
        <v>100</v>
      </c>
      <c r="C33" s="11"/>
      <c r="D33" s="26">
        <f>'7. Balance Sheet'!D43</f>
        <v>6501489.65672612</v>
      </c>
      <c r="E33" s="21"/>
      <c r="F33" s="21"/>
      <c r="G33" s="21"/>
      <c r="H33" s="21"/>
    </row>
    <row r="34" spans="2:8" ht="13" x14ac:dyDescent="0.15">
      <c r="B34" s="10"/>
      <c r="C34" s="11"/>
      <c r="D34" s="21"/>
      <c r="E34" s="21"/>
      <c r="F34" s="21"/>
      <c r="G34" s="21"/>
      <c r="H34" s="21"/>
    </row>
    <row r="35" spans="2:8" ht="14" x14ac:dyDescent="0.2">
      <c r="B35" s="18" t="s">
        <v>101</v>
      </c>
      <c r="C35" s="14"/>
      <c r="D35" s="15">
        <f>'9. Cash Flow'!E15</f>
        <v>5122429.5667261202</v>
      </c>
      <c r="E35" s="15">
        <f>'9. Cash Flow'!F15</f>
        <v>13918738.651229577</v>
      </c>
      <c r="F35" s="15">
        <f>'9. Cash Flow'!G15</f>
        <v>26591789.771751992</v>
      </c>
      <c r="G35" s="15">
        <f>'9. Cash Flow'!H15</f>
        <v>56301466.547756322</v>
      </c>
      <c r="H35" s="15">
        <f>'9. Cash Flow'!I15</f>
        <v>112965429.96889898</v>
      </c>
    </row>
    <row r="36" spans="2:8" ht="14" x14ac:dyDescent="0.2">
      <c r="B36" s="18" t="s">
        <v>102</v>
      </c>
      <c r="C36" s="14"/>
      <c r="D36" s="28">
        <f>'9. Cash Flow'!E21</f>
        <v>0</v>
      </c>
      <c r="E36" s="28">
        <f>'9. Cash Flow'!F21</f>
        <v>0</v>
      </c>
      <c r="F36" s="28">
        <f>'9. Cash Flow'!G21</f>
        <v>0</v>
      </c>
      <c r="G36" s="28">
        <f>'9. Cash Flow'!H21</f>
        <v>0</v>
      </c>
      <c r="H36" s="28">
        <f>'9. Cash Flow'!I21</f>
        <v>0</v>
      </c>
    </row>
    <row r="37" spans="2:8" ht="14" x14ac:dyDescent="0.2">
      <c r="B37" s="25" t="s">
        <v>103</v>
      </c>
      <c r="C37" s="11"/>
      <c r="D37" s="26">
        <f>'9. Cash Flow'!E30</f>
        <v>1379060.09</v>
      </c>
      <c r="E37" s="26">
        <f>'9. Cash Flow'!F30</f>
        <v>0</v>
      </c>
      <c r="F37" s="26">
        <f>'9. Cash Flow'!G30</f>
        <v>0</v>
      </c>
      <c r="G37" s="26">
        <f>'9. Cash Flow'!H30</f>
        <v>0</v>
      </c>
      <c r="H37" s="26">
        <f>'9. Cash Flow'!I30</f>
        <v>0</v>
      </c>
    </row>
    <row r="38" spans="2:8" ht="13" x14ac:dyDescent="0.15">
      <c r="B38" s="10"/>
      <c r="C38" s="11"/>
      <c r="D38" s="21"/>
      <c r="E38" s="21"/>
      <c r="F38" s="21"/>
      <c r="G38" s="21"/>
      <c r="H38" s="21"/>
    </row>
    <row r="39" spans="2:8" ht="14" x14ac:dyDescent="0.2">
      <c r="B39" s="25" t="s">
        <v>104</v>
      </c>
      <c r="C39" s="11"/>
      <c r="D39" s="20">
        <f>'9. Cash Flow'!E32</f>
        <v>6501489.65672612</v>
      </c>
      <c r="E39" s="20">
        <f>'9. Cash Flow'!F32</f>
        <v>13918738.651229577</v>
      </c>
      <c r="F39" s="20">
        <f>'9. Cash Flow'!G32</f>
        <v>26591789.771751992</v>
      </c>
      <c r="G39" s="20">
        <f>'9. Cash Flow'!H32</f>
        <v>56301466.547756322</v>
      </c>
      <c r="H39" s="20">
        <f>'9. Cash Flow'!I32</f>
        <v>112965429.96889898</v>
      </c>
    </row>
    <row r="40" spans="2:8" ht="13" x14ac:dyDescent="0.15">
      <c r="B40" s="10"/>
      <c r="C40" s="11"/>
      <c r="D40" s="21"/>
      <c r="E40" s="21"/>
      <c r="F40" s="21"/>
      <c r="G40" s="21"/>
      <c r="H40" s="21"/>
    </row>
    <row r="41" spans="2:8" ht="15" x14ac:dyDescent="0.2">
      <c r="B41" s="29" t="s">
        <v>105</v>
      </c>
      <c r="C41" s="11"/>
      <c r="D41" s="26">
        <f>'9. Cash Flow'!E36</f>
        <v>6501489.65672612</v>
      </c>
      <c r="E41" s="26">
        <f>'9. Cash Flow'!F36</f>
        <v>20420228.307955697</v>
      </c>
      <c r="F41" s="26">
        <f>'9. Cash Flow'!G36</f>
        <v>47012018.07970769</v>
      </c>
      <c r="G41" s="26">
        <f>'9. Cash Flow'!H36</f>
        <v>103313484.62746401</v>
      </c>
      <c r="H41" s="26">
        <f>'9. Cash Flow'!I36</f>
        <v>216278914.59636301</v>
      </c>
    </row>
    <row r="42" spans="2:8" ht="13" x14ac:dyDescent="0.15">
      <c r="B42" s="30"/>
      <c r="C42" s="31"/>
      <c r="D42" s="31"/>
      <c r="E42" s="31"/>
      <c r="F42" s="31"/>
      <c r="G42" s="31"/>
      <c r="H42" s="21"/>
    </row>
  </sheetData>
  <mergeCells count="1">
    <mergeCell ref="B5: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89"/>
  <sheetViews>
    <sheetView workbookViewId="0">
      <selection activeCell="B50" sqref="B50"/>
    </sheetView>
  </sheetViews>
  <sheetFormatPr baseColWidth="10" defaultColWidth="12.6640625" defaultRowHeight="15.75" customHeight="1" x14ac:dyDescent="0.15"/>
  <cols>
    <col min="1" max="1" width="40.5" bestFit="1" customWidth="1"/>
    <col min="2" max="2" width="21.33203125" customWidth="1"/>
    <col min="3" max="3" width="33.1640625" customWidth="1"/>
    <col min="4" max="4" width="19.83203125" customWidth="1"/>
    <col min="5" max="5" width="25.1640625" customWidth="1"/>
    <col min="6" max="6" width="19.83203125" customWidth="1"/>
    <col min="7" max="7" width="7.6640625" customWidth="1"/>
    <col min="8" max="8" width="11.6640625" bestFit="1" customWidth="1"/>
    <col min="9" max="9" width="15.1640625" bestFit="1" customWidth="1"/>
    <col min="10" max="26" width="7.6640625" customWidth="1"/>
  </cols>
  <sheetData>
    <row r="1" spans="1:6" ht="19" customHeight="1" x14ac:dyDescent="0.25">
      <c r="A1" s="102" t="s">
        <v>318</v>
      </c>
    </row>
    <row r="3" spans="1:6" ht="15.75" customHeight="1" x14ac:dyDescent="0.2">
      <c r="A3" s="103" t="s">
        <v>319</v>
      </c>
    </row>
    <row r="4" spans="1:6" ht="15.75" customHeight="1" x14ac:dyDescent="0.2">
      <c r="A4" s="104" t="s">
        <v>320</v>
      </c>
      <c r="B4" s="105" t="s">
        <v>321</v>
      </c>
      <c r="C4" s="104" t="s">
        <v>322</v>
      </c>
      <c r="D4" s="105" t="s">
        <v>323</v>
      </c>
      <c r="E4" s="104" t="s">
        <v>324</v>
      </c>
      <c r="F4" s="105" t="s">
        <v>325</v>
      </c>
    </row>
    <row r="5" spans="1:6" ht="15.75" customHeight="1" x14ac:dyDescent="0.2">
      <c r="A5" s="104" t="s">
        <v>326</v>
      </c>
      <c r="B5" s="166">
        <v>15875000</v>
      </c>
      <c r="C5" s="104" t="s">
        <v>327</v>
      </c>
      <c r="D5" s="163">
        <v>1750000</v>
      </c>
      <c r="E5" s="104" t="s">
        <v>328</v>
      </c>
      <c r="F5" s="165">
        <v>0.125</v>
      </c>
    </row>
    <row r="6" spans="1:6" ht="15.75" customHeight="1" x14ac:dyDescent="0.2">
      <c r="A6" s="104" t="s">
        <v>329</v>
      </c>
      <c r="B6" s="168" t="s">
        <v>509</v>
      </c>
      <c r="C6" s="104" t="s">
        <v>330</v>
      </c>
      <c r="D6" s="164" t="s">
        <v>331</v>
      </c>
      <c r="E6" s="104" t="s">
        <v>332</v>
      </c>
      <c r="F6" s="105" t="s">
        <v>333</v>
      </c>
    </row>
    <row r="7" spans="1:6" ht="15.75" customHeight="1" x14ac:dyDescent="0.2">
      <c r="A7" s="104" t="s">
        <v>334</v>
      </c>
      <c r="B7" s="105" t="s">
        <v>335</v>
      </c>
      <c r="C7" s="104" t="s">
        <v>336</v>
      </c>
      <c r="D7" s="105" t="s">
        <v>337</v>
      </c>
      <c r="E7" s="174" t="s">
        <v>338</v>
      </c>
      <c r="F7" s="172">
        <v>50000</v>
      </c>
    </row>
    <row r="8" spans="1:6" ht="15.75" customHeight="1" x14ac:dyDescent="0.2">
      <c r="E8" s="175" t="s">
        <v>510</v>
      </c>
      <c r="F8" s="173">
        <f>F7/D23</f>
        <v>40000</v>
      </c>
    </row>
    <row r="10" spans="1:6" ht="15.75" customHeight="1" x14ac:dyDescent="0.2">
      <c r="A10" s="103" t="s">
        <v>339</v>
      </c>
    </row>
    <row r="11" spans="1:6" ht="15" x14ac:dyDescent="0.2">
      <c r="A11" s="104" t="s">
        <v>340</v>
      </c>
      <c r="B11" s="104" t="s">
        <v>341</v>
      </c>
      <c r="C11" s="104" t="s">
        <v>342</v>
      </c>
      <c r="D11" s="104" t="s">
        <v>343</v>
      </c>
      <c r="E11" s="104" t="s">
        <v>344</v>
      </c>
    </row>
    <row r="12" spans="1:6" ht="15.75" customHeight="1" x14ac:dyDescent="0.2">
      <c r="A12" s="105" t="s">
        <v>345</v>
      </c>
      <c r="B12" s="106" t="s">
        <v>346</v>
      </c>
      <c r="C12" s="107">
        <v>3400000</v>
      </c>
      <c r="D12" s="106" t="s">
        <v>347</v>
      </c>
      <c r="E12" s="106" t="s">
        <v>337</v>
      </c>
    </row>
    <row r="13" spans="1:6" ht="15.75" customHeight="1" x14ac:dyDescent="0.2">
      <c r="A13" s="105" t="s">
        <v>348</v>
      </c>
      <c r="B13" s="106" t="s">
        <v>346</v>
      </c>
      <c r="C13" s="107">
        <v>3400000</v>
      </c>
      <c r="D13" s="106" t="s">
        <v>347</v>
      </c>
      <c r="E13" s="106" t="s">
        <v>337</v>
      </c>
    </row>
    <row r="14" spans="1:6" ht="15.75" customHeight="1" x14ac:dyDescent="0.2">
      <c r="A14" s="105" t="s">
        <v>349</v>
      </c>
      <c r="B14" s="106" t="s">
        <v>346</v>
      </c>
      <c r="C14" s="107">
        <v>3400000</v>
      </c>
      <c r="D14" s="106" t="s">
        <v>347</v>
      </c>
      <c r="E14" s="106" t="s">
        <v>337</v>
      </c>
    </row>
    <row r="15" spans="1:6" ht="15.75" customHeight="1" x14ac:dyDescent="0.2">
      <c r="A15" s="104" t="s">
        <v>350</v>
      </c>
      <c r="C15" s="108">
        <f>SUM(C12:C14)</f>
        <v>10200000</v>
      </c>
    </row>
    <row r="17" spans="1:9" ht="15.75" customHeight="1" x14ac:dyDescent="0.2">
      <c r="A17" s="103" t="s">
        <v>351</v>
      </c>
    </row>
    <row r="18" spans="1:9" ht="15.75" customHeight="1" x14ac:dyDescent="0.2">
      <c r="A18" s="104" t="s">
        <v>352</v>
      </c>
      <c r="B18" s="105" t="s">
        <v>353</v>
      </c>
      <c r="C18" s="104" t="s">
        <v>354</v>
      </c>
      <c r="D18" s="105" t="s">
        <v>353</v>
      </c>
      <c r="E18" s="104" t="s">
        <v>355</v>
      </c>
      <c r="F18" s="105" t="s">
        <v>353</v>
      </c>
    </row>
    <row r="20" spans="1:9" ht="15.75" customHeight="1" x14ac:dyDescent="0.2">
      <c r="A20" s="103" t="s">
        <v>356</v>
      </c>
    </row>
    <row r="21" spans="1:9" ht="15.75" customHeight="1" x14ac:dyDescent="0.2">
      <c r="A21" s="104"/>
      <c r="B21" s="109"/>
    </row>
    <row r="22" spans="1:9" ht="15.75" customHeight="1" x14ac:dyDescent="0.2">
      <c r="A22" s="104" t="s">
        <v>357</v>
      </c>
      <c r="B22" s="107">
        <f>C15</f>
        <v>10200000</v>
      </c>
      <c r="F22" s="107">
        <f>IF($D22=1,$B22/(1-$F$5),$B22)</f>
        <v>10200000</v>
      </c>
    </row>
    <row r="23" spans="1:9" ht="15.75" customHeight="1" x14ac:dyDescent="0.2">
      <c r="A23" s="104" t="s">
        <v>358</v>
      </c>
      <c r="B23" s="169">
        <v>2500000</v>
      </c>
      <c r="C23" s="110" t="s">
        <v>508</v>
      </c>
      <c r="D23" s="170">
        <v>1.25</v>
      </c>
      <c r="E23" s="110" t="s">
        <v>359</v>
      </c>
      <c r="F23" s="111">
        <f>IF($B$21&gt;0,$B$21,$D$23)</f>
        <v>1.25</v>
      </c>
      <c r="I23" s="167"/>
    </row>
    <row r="24" spans="1:9" ht="15.75" customHeight="1" x14ac:dyDescent="0.2">
      <c r="A24" s="104" t="s">
        <v>360</v>
      </c>
      <c r="B24" s="107">
        <f>$D$5/$F$23</f>
        <v>1400000</v>
      </c>
      <c r="E24" s="110" t="s">
        <v>361</v>
      </c>
      <c r="F24" s="107">
        <f>$B$22+$B$23+$B$24+$D$24</f>
        <v>14100000</v>
      </c>
    </row>
    <row r="25" spans="1:9" ht="13" x14ac:dyDescent="0.15"/>
    <row r="26" spans="1:9" ht="15.75" customHeight="1" x14ac:dyDescent="0.2">
      <c r="A26" s="195" t="s">
        <v>362</v>
      </c>
      <c r="B26" s="196"/>
      <c r="C26" s="88"/>
    </row>
    <row r="27" spans="1:9" ht="15.75" customHeight="1" x14ac:dyDescent="0.2">
      <c r="A27" s="104" t="s">
        <v>363</v>
      </c>
      <c r="B27" s="104" t="s">
        <v>342</v>
      </c>
      <c r="C27" s="104" t="s">
        <v>364</v>
      </c>
      <c r="E27" s="171" t="s">
        <v>511</v>
      </c>
      <c r="F27" s="156">
        <f>D23*B31</f>
        <v>17625000</v>
      </c>
    </row>
    <row r="28" spans="1:9" ht="15.75" customHeight="1" x14ac:dyDescent="0.2">
      <c r="A28" s="105" t="s">
        <v>365</v>
      </c>
      <c r="B28" s="107">
        <f>$B$22</f>
        <v>10200000</v>
      </c>
      <c r="C28" s="112">
        <f t="shared" ref="C28:C31" si="0">B28/$F$24</f>
        <v>0.72340425531914898</v>
      </c>
    </row>
    <row r="29" spans="1:9" ht="15.75" customHeight="1" x14ac:dyDescent="0.2">
      <c r="A29" s="105" t="s">
        <v>366</v>
      </c>
      <c r="B29" s="107">
        <f>$B$23+$D$24</f>
        <v>2500000</v>
      </c>
      <c r="C29" s="112">
        <f t="shared" si="0"/>
        <v>0.1773049645390071</v>
      </c>
    </row>
    <row r="30" spans="1:9" ht="15.75" customHeight="1" x14ac:dyDescent="0.2">
      <c r="A30" s="105" t="s">
        <v>367</v>
      </c>
      <c r="B30" s="107">
        <f>$B$24</f>
        <v>1400000</v>
      </c>
      <c r="C30" s="112">
        <f t="shared" si="0"/>
        <v>9.9290780141843976E-2</v>
      </c>
    </row>
    <row r="31" spans="1:9" ht="15.75" customHeight="1" x14ac:dyDescent="0.2">
      <c r="A31" s="104" t="s">
        <v>368</v>
      </c>
      <c r="B31" s="107">
        <f>SUM(B28:B30)</f>
        <v>14100000</v>
      </c>
      <c r="C31" s="112">
        <f t="shared" si="0"/>
        <v>1</v>
      </c>
    </row>
    <row r="32" spans="1:9" ht="13" x14ac:dyDescent="0.15"/>
    <row r="33" spans="1:6" ht="15.75" customHeight="1" x14ac:dyDescent="0.2">
      <c r="A33" s="195" t="s">
        <v>369</v>
      </c>
      <c r="B33" s="197"/>
      <c r="C33" s="196"/>
    </row>
    <row r="34" spans="1:6" ht="15.75" customHeight="1" x14ac:dyDescent="0.2">
      <c r="A34" s="104" t="s">
        <v>370</v>
      </c>
      <c r="B34" s="111">
        <f>$F$23</f>
        <v>1.25</v>
      </c>
      <c r="C34" s="104" t="s">
        <v>371</v>
      </c>
      <c r="D34" s="107">
        <f>$B$24</f>
        <v>1400000</v>
      </c>
      <c r="E34" s="104" t="s">
        <v>372</v>
      </c>
      <c r="F34" s="107">
        <f>$F$24</f>
        <v>14100000</v>
      </c>
    </row>
    <row r="35" spans="1:6" ht="15.75" customHeight="1" x14ac:dyDescent="0.2">
      <c r="A35" s="104" t="s">
        <v>373</v>
      </c>
      <c r="B35" s="112">
        <f>$C$28</f>
        <v>0.72340425531914898</v>
      </c>
      <c r="C35" s="104" t="s">
        <v>374</v>
      </c>
      <c r="D35" s="112">
        <f>$C$29</f>
        <v>0.1773049645390071</v>
      </c>
      <c r="E35" s="104" t="s">
        <v>375</v>
      </c>
      <c r="F35" s="112">
        <f>$C$30</f>
        <v>9.9290780141843976E-2</v>
      </c>
    </row>
    <row r="36" spans="1:6" ht="13" x14ac:dyDescent="0.15"/>
    <row r="37" spans="1:6" ht="13" x14ac:dyDescent="0.15"/>
    <row r="38" spans="1:6" ht="13" x14ac:dyDescent="0.15"/>
    <row r="39" spans="1:6" ht="13" x14ac:dyDescent="0.15"/>
    <row r="40" spans="1:6" ht="13" x14ac:dyDescent="0.15"/>
    <row r="41" spans="1:6" ht="13" x14ac:dyDescent="0.15"/>
    <row r="42" spans="1:6" ht="13" x14ac:dyDescent="0.15"/>
    <row r="43" spans="1:6" ht="13" x14ac:dyDescent="0.15"/>
    <row r="44" spans="1:6" ht="13" x14ac:dyDescent="0.15"/>
    <row r="45" spans="1:6" ht="13" x14ac:dyDescent="0.15"/>
    <row r="46" spans="1:6" ht="13" x14ac:dyDescent="0.15"/>
    <row r="47" spans="1:6" ht="13" x14ac:dyDescent="0.15"/>
    <row r="48" spans="1:6" ht="13" x14ac:dyDescent="0.15"/>
    <row r="49" ht="13" x14ac:dyDescent="0.15"/>
    <row r="50" ht="13" x14ac:dyDescent="0.15"/>
    <row r="51" ht="13" x14ac:dyDescent="0.15"/>
    <row r="52" ht="13" x14ac:dyDescent="0.15"/>
    <row r="53" ht="13" x14ac:dyDescent="0.15"/>
    <row r="54" ht="13" x14ac:dyDescent="0.15"/>
    <row r="55" ht="13" x14ac:dyDescent="0.15"/>
    <row r="56" ht="13" x14ac:dyDescent="0.15"/>
    <row r="57" ht="13" x14ac:dyDescent="0.15"/>
    <row r="58" ht="13" x14ac:dyDescent="0.15"/>
    <row r="59" ht="13" x14ac:dyDescent="0.15"/>
    <row r="60" ht="13" x14ac:dyDescent="0.15"/>
    <row r="61" ht="13" x14ac:dyDescent="0.15"/>
    <row r="62" ht="13" x14ac:dyDescent="0.15"/>
    <row r="63" ht="13" x14ac:dyDescent="0.15"/>
    <row r="64" ht="13" x14ac:dyDescent="0.15"/>
    <row r="65" ht="13" x14ac:dyDescent="0.15"/>
    <row r="66" ht="13" x14ac:dyDescent="0.15"/>
    <row r="67" ht="13" x14ac:dyDescent="0.15"/>
    <row r="68" ht="13" x14ac:dyDescent="0.15"/>
    <row r="69" ht="13" x14ac:dyDescent="0.15"/>
    <row r="70" ht="13" x14ac:dyDescent="0.15"/>
    <row r="71" ht="13" x14ac:dyDescent="0.15"/>
    <row r="72" ht="13" x14ac:dyDescent="0.15"/>
    <row r="73" ht="13" x14ac:dyDescent="0.15"/>
    <row r="74" ht="13" x14ac:dyDescent="0.15"/>
    <row r="75" ht="13" x14ac:dyDescent="0.15"/>
    <row r="76" ht="13" x14ac:dyDescent="0.15"/>
    <row r="77" ht="13" x14ac:dyDescent="0.15"/>
    <row r="78" ht="13" x14ac:dyDescent="0.15"/>
    <row r="79" ht="13" x14ac:dyDescent="0.15"/>
    <row r="80" ht="13" x14ac:dyDescent="0.15"/>
    <row r="81" ht="13" x14ac:dyDescent="0.15"/>
    <row r="82" ht="13" x14ac:dyDescent="0.15"/>
    <row r="83" ht="13" x14ac:dyDescent="0.15"/>
    <row r="84" ht="13" x14ac:dyDescent="0.15"/>
    <row r="85" ht="13" x14ac:dyDescent="0.15"/>
    <row r="86" ht="13" x14ac:dyDescent="0.15"/>
    <row r="87" ht="13" x14ac:dyDescent="0.15"/>
    <row r="88" ht="13" x14ac:dyDescent="0.15"/>
    <row r="89" ht="13" x14ac:dyDescent="0.15"/>
    <row r="90" ht="13" x14ac:dyDescent="0.15"/>
    <row r="91" ht="13" x14ac:dyDescent="0.15"/>
    <row r="92" ht="13" x14ac:dyDescent="0.15"/>
    <row r="93" ht="13" x14ac:dyDescent="0.15"/>
    <row r="94" ht="13" x14ac:dyDescent="0.15"/>
    <row r="95" ht="13" x14ac:dyDescent="0.15"/>
    <row r="96" ht="13" x14ac:dyDescent="0.15"/>
    <row r="97" ht="13" x14ac:dyDescent="0.15"/>
    <row r="98" ht="13" x14ac:dyDescent="0.15"/>
    <row r="99" ht="13" x14ac:dyDescent="0.15"/>
    <row r="100" ht="13" x14ac:dyDescent="0.15"/>
    <row r="101" ht="13" x14ac:dyDescent="0.15"/>
    <row r="102" ht="13" x14ac:dyDescent="0.15"/>
    <row r="103" ht="13" x14ac:dyDescent="0.15"/>
    <row r="104" ht="13" x14ac:dyDescent="0.15"/>
    <row r="105" ht="13" x14ac:dyDescent="0.15"/>
    <row r="106" ht="13" x14ac:dyDescent="0.15"/>
    <row r="107" ht="13" x14ac:dyDescent="0.15"/>
    <row r="108" ht="13" x14ac:dyDescent="0.15"/>
    <row r="109" ht="13" x14ac:dyDescent="0.15"/>
    <row r="110" ht="13" x14ac:dyDescent="0.15"/>
    <row r="111" ht="13" x14ac:dyDescent="0.15"/>
    <row r="112" ht="13" x14ac:dyDescent="0.15"/>
    <row r="113" ht="13" x14ac:dyDescent="0.15"/>
    <row r="114" ht="13" x14ac:dyDescent="0.15"/>
    <row r="115" ht="13" x14ac:dyDescent="0.15"/>
    <row r="116" ht="13" x14ac:dyDescent="0.15"/>
    <row r="117" ht="13" x14ac:dyDescent="0.15"/>
    <row r="118" ht="13" x14ac:dyDescent="0.15"/>
    <row r="119" ht="13" x14ac:dyDescent="0.15"/>
    <row r="120" ht="13" x14ac:dyDescent="0.15"/>
    <row r="121" ht="13" x14ac:dyDescent="0.15"/>
    <row r="122" ht="13" x14ac:dyDescent="0.15"/>
    <row r="123" ht="13" x14ac:dyDescent="0.15"/>
    <row r="124" ht="13" x14ac:dyDescent="0.15"/>
    <row r="125" ht="13" x14ac:dyDescent="0.15"/>
    <row r="126" ht="13" x14ac:dyDescent="0.15"/>
    <row r="127" ht="13" x14ac:dyDescent="0.15"/>
    <row r="128" ht="13" x14ac:dyDescent="0.15"/>
    <row r="129" ht="13" x14ac:dyDescent="0.15"/>
    <row r="130" ht="13" x14ac:dyDescent="0.15"/>
    <row r="131" ht="13" x14ac:dyDescent="0.15"/>
    <row r="132" ht="13" x14ac:dyDescent="0.15"/>
    <row r="133" ht="13" x14ac:dyDescent="0.15"/>
    <row r="134" ht="13" x14ac:dyDescent="0.15"/>
    <row r="135" ht="13" x14ac:dyDescent="0.15"/>
    <row r="136" ht="13" x14ac:dyDescent="0.15"/>
    <row r="137" ht="13" x14ac:dyDescent="0.15"/>
    <row r="138" ht="13" x14ac:dyDescent="0.15"/>
    <row r="139" ht="13" x14ac:dyDescent="0.15"/>
    <row r="140" ht="13" x14ac:dyDescent="0.15"/>
    <row r="141" ht="13" x14ac:dyDescent="0.15"/>
    <row r="142" ht="13" x14ac:dyDescent="0.15"/>
    <row r="143" ht="13" x14ac:dyDescent="0.15"/>
    <row r="144" ht="13" x14ac:dyDescent="0.15"/>
    <row r="145" ht="13" x14ac:dyDescent="0.15"/>
    <row r="146" ht="13" x14ac:dyDescent="0.15"/>
    <row r="147" ht="13" x14ac:dyDescent="0.15"/>
    <row r="148" ht="13" x14ac:dyDescent="0.15"/>
    <row r="149" ht="13" x14ac:dyDescent="0.15"/>
    <row r="150" ht="13" x14ac:dyDescent="0.15"/>
    <row r="151" ht="13" x14ac:dyDescent="0.15"/>
    <row r="152" ht="13" x14ac:dyDescent="0.15"/>
    <row r="153" ht="13" x14ac:dyDescent="0.15"/>
    <row r="154" ht="13" x14ac:dyDescent="0.15"/>
    <row r="155" ht="13" x14ac:dyDescent="0.15"/>
    <row r="156" ht="13" x14ac:dyDescent="0.15"/>
    <row r="157" ht="13" x14ac:dyDescent="0.15"/>
    <row r="158" ht="13" x14ac:dyDescent="0.15"/>
    <row r="159" ht="13" x14ac:dyDescent="0.15"/>
    <row r="160" ht="13" x14ac:dyDescent="0.15"/>
    <row r="161" ht="13" x14ac:dyDescent="0.15"/>
    <row r="162" ht="13" x14ac:dyDescent="0.15"/>
    <row r="163" ht="13" x14ac:dyDescent="0.15"/>
    <row r="164" ht="13" x14ac:dyDescent="0.15"/>
    <row r="165" ht="13" x14ac:dyDescent="0.15"/>
    <row r="166" ht="13" x14ac:dyDescent="0.15"/>
    <row r="167" ht="13" x14ac:dyDescent="0.15"/>
    <row r="168" ht="13" x14ac:dyDescent="0.15"/>
    <row r="169" ht="13" x14ac:dyDescent="0.15"/>
    <row r="170" ht="13" x14ac:dyDescent="0.15"/>
    <row r="171" ht="13" x14ac:dyDescent="0.15"/>
    <row r="172" ht="13" x14ac:dyDescent="0.15"/>
    <row r="173" ht="13" x14ac:dyDescent="0.15"/>
    <row r="174" ht="13" x14ac:dyDescent="0.15"/>
    <row r="175" ht="13" x14ac:dyDescent="0.15"/>
    <row r="176" ht="13" x14ac:dyDescent="0.15"/>
    <row r="177" ht="13" x14ac:dyDescent="0.15"/>
    <row r="178" ht="13" x14ac:dyDescent="0.15"/>
    <row r="179" ht="13" x14ac:dyDescent="0.15"/>
    <row r="180" ht="13" x14ac:dyDescent="0.15"/>
    <row r="181" ht="13" x14ac:dyDescent="0.15"/>
    <row r="182" ht="13" x14ac:dyDescent="0.15"/>
    <row r="183" ht="13" x14ac:dyDescent="0.15"/>
    <row r="184" ht="13" x14ac:dyDescent="0.15"/>
    <row r="185" ht="13" x14ac:dyDescent="0.15"/>
    <row r="186" ht="13" x14ac:dyDescent="0.15"/>
    <row r="187" ht="13" x14ac:dyDescent="0.15"/>
    <row r="188" ht="13" x14ac:dyDescent="0.15"/>
    <row r="189" ht="13" x14ac:dyDescent="0.15"/>
    <row r="190" ht="13" x14ac:dyDescent="0.15"/>
    <row r="191" ht="13" x14ac:dyDescent="0.15"/>
    <row r="192" ht="13" x14ac:dyDescent="0.15"/>
    <row r="193" ht="13" x14ac:dyDescent="0.15"/>
    <row r="194" ht="13" x14ac:dyDescent="0.15"/>
    <row r="195" ht="13" x14ac:dyDescent="0.15"/>
    <row r="196" ht="13" x14ac:dyDescent="0.15"/>
    <row r="197" ht="13" x14ac:dyDescent="0.15"/>
    <row r="198" ht="13" x14ac:dyDescent="0.15"/>
    <row r="199" ht="13" x14ac:dyDescent="0.15"/>
    <row r="200" ht="13" x14ac:dyDescent="0.15"/>
    <row r="201" ht="13" x14ac:dyDescent="0.15"/>
    <row r="202" ht="13" x14ac:dyDescent="0.15"/>
    <row r="203" ht="13" x14ac:dyDescent="0.15"/>
    <row r="204" ht="13" x14ac:dyDescent="0.15"/>
    <row r="205" ht="13" x14ac:dyDescent="0.15"/>
    <row r="206" ht="13" x14ac:dyDescent="0.15"/>
    <row r="207" ht="13" x14ac:dyDescent="0.15"/>
    <row r="208" ht="13" x14ac:dyDescent="0.15"/>
    <row r="209" ht="13" x14ac:dyDescent="0.15"/>
    <row r="210" ht="13" x14ac:dyDescent="0.15"/>
    <row r="211" ht="13" x14ac:dyDescent="0.15"/>
    <row r="212" ht="13" x14ac:dyDescent="0.15"/>
    <row r="213" ht="13" x14ac:dyDescent="0.15"/>
    <row r="214" ht="13" x14ac:dyDescent="0.15"/>
    <row r="215" ht="13" x14ac:dyDescent="0.15"/>
    <row r="216" ht="13" x14ac:dyDescent="0.15"/>
    <row r="217" ht="13" x14ac:dyDescent="0.15"/>
    <row r="218" ht="13" x14ac:dyDescent="0.15"/>
    <row r="219" ht="13" x14ac:dyDescent="0.15"/>
    <row r="220" ht="13" x14ac:dyDescent="0.15"/>
    <row r="221" ht="13" x14ac:dyDescent="0.15"/>
    <row r="222" ht="13" x14ac:dyDescent="0.15"/>
    <row r="223" ht="13" x14ac:dyDescent="0.15"/>
    <row r="224" ht="13" x14ac:dyDescent="0.15"/>
    <row r="225" ht="13" x14ac:dyDescent="0.15"/>
    <row r="226" ht="13" x14ac:dyDescent="0.15"/>
    <row r="227" ht="13" x14ac:dyDescent="0.15"/>
    <row r="228" ht="13" x14ac:dyDescent="0.15"/>
    <row r="229" ht="13" x14ac:dyDescent="0.15"/>
    <row r="230" ht="13" x14ac:dyDescent="0.15"/>
    <row r="231" ht="13" x14ac:dyDescent="0.15"/>
    <row r="232" ht="13" x14ac:dyDescent="0.15"/>
    <row r="233" ht="13" x14ac:dyDescent="0.15"/>
    <row r="234" ht="13" x14ac:dyDescent="0.15"/>
    <row r="235" ht="13" x14ac:dyDescent="0.15"/>
    <row r="236" ht="13" x14ac:dyDescent="0.15"/>
    <row r="237" ht="13" x14ac:dyDescent="0.15"/>
    <row r="238" ht="13" x14ac:dyDescent="0.15"/>
    <row r="239" ht="13" x14ac:dyDescent="0.15"/>
    <row r="240" ht="13" x14ac:dyDescent="0.15"/>
    <row r="241" ht="13" x14ac:dyDescent="0.15"/>
    <row r="242" ht="13" x14ac:dyDescent="0.15"/>
    <row r="243" ht="13" x14ac:dyDescent="0.15"/>
    <row r="244" ht="13" x14ac:dyDescent="0.15"/>
    <row r="245" ht="13" x14ac:dyDescent="0.15"/>
    <row r="246" ht="13" x14ac:dyDescent="0.15"/>
    <row r="247" ht="13" x14ac:dyDescent="0.15"/>
    <row r="248" ht="13" x14ac:dyDescent="0.15"/>
    <row r="249" ht="13" x14ac:dyDescent="0.15"/>
    <row r="250" ht="13" x14ac:dyDescent="0.15"/>
    <row r="251" ht="13" x14ac:dyDescent="0.15"/>
    <row r="252" ht="13" x14ac:dyDescent="0.15"/>
    <row r="253" ht="13" x14ac:dyDescent="0.15"/>
    <row r="254" ht="13" x14ac:dyDescent="0.15"/>
    <row r="255" ht="13" x14ac:dyDescent="0.15"/>
    <row r="256" ht="13" x14ac:dyDescent="0.15"/>
    <row r="257" ht="13" x14ac:dyDescent="0.15"/>
    <row r="258" ht="13" x14ac:dyDescent="0.15"/>
    <row r="259" ht="13" x14ac:dyDescent="0.15"/>
    <row r="260" ht="13" x14ac:dyDescent="0.15"/>
    <row r="261" ht="13" x14ac:dyDescent="0.15"/>
    <row r="262" ht="13" x14ac:dyDescent="0.15"/>
    <row r="263" ht="13" x14ac:dyDescent="0.15"/>
    <row r="264" ht="13" x14ac:dyDescent="0.15"/>
    <row r="265" ht="13" x14ac:dyDescent="0.15"/>
    <row r="266" ht="13" x14ac:dyDescent="0.15"/>
    <row r="267" ht="13" x14ac:dyDescent="0.15"/>
    <row r="268" ht="13" x14ac:dyDescent="0.15"/>
    <row r="269" ht="13" x14ac:dyDescent="0.15"/>
    <row r="270" ht="13" x14ac:dyDescent="0.15"/>
    <row r="271" ht="13" x14ac:dyDescent="0.15"/>
    <row r="272" ht="13" x14ac:dyDescent="0.15"/>
    <row r="273" ht="13" x14ac:dyDescent="0.15"/>
    <row r="274" ht="13" x14ac:dyDescent="0.15"/>
    <row r="275" ht="13" x14ac:dyDescent="0.15"/>
    <row r="276" ht="13" x14ac:dyDescent="0.15"/>
    <row r="277" ht="13" x14ac:dyDescent="0.15"/>
    <row r="278" ht="13" x14ac:dyDescent="0.15"/>
    <row r="279" ht="13" x14ac:dyDescent="0.15"/>
    <row r="280" ht="13" x14ac:dyDescent="0.15"/>
    <row r="281" ht="13" x14ac:dyDescent="0.15"/>
    <row r="282" ht="13" x14ac:dyDescent="0.15"/>
    <row r="283" ht="13" x14ac:dyDescent="0.15"/>
    <row r="284" ht="13" x14ac:dyDescent="0.15"/>
    <row r="285" ht="13" x14ac:dyDescent="0.15"/>
    <row r="286" ht="13" x14ac:dyDescent="0.15"/>
    <row r="287" ht="13" x14ac:dyDescent="0.15"/>
    <row r="288" ht="13" x14ac:dyDescent="0.15"/>
    <row r="289" ht="13" x14ac:dyDescent="0.15"/>
    <row r="290" ht="13" x14ac:dyDescent="0.15"/>
    <row r="291" ht="13" x14ac:dyDescent="0.15"/>
    <row r="292" ht="13" x14ac:dyDescent="0.15"/>
    <row r="293" ht="13" x14ac:dyDescent="0.15"/>
    <row r="294" ht="13" x14ac:dyDescent="0.15"/>
    <row r="295" ht="13" x14ac:dyDescent="0.15"/>
    <row r="296" ht="13" x14ac:dyDescent="0.15"/>
    <row r="297" ht="13" x14ac:dyDescent="0.15"/>
    <row r="298" ht="13" x14ac:dyDescent="0.15"/>
    <row r="299" ht="13" x14ac:dyDescent="0.15"/>
    <row r="300" ht="13" x14ac:dyDescent="0.15"/>
    <row r="301" ht="13" x14ac:dyDescent="0.15"/>
    <row r="302" ht="13" x14ac:dyDescent="0.15"/>
    <row r="303" ht="13" x14ac:dyDescent="0.15"/>
    <row r="304" ht="13" x14ac:dyDescent="0.15"/>
    <row r="305" ht="13" x14ac:dyDescent="0.15"/>
    <row r="306" ht="13" x14ac:dyDescent="0.15"/>
    <row r="307" ht="13" x14ac:dyDescent="0.15"/>
    <row r="308" ht="13" x14ac:dyDescent="0.15"/>
    <row r="309" ht="13" x14ac:dyDescent="0.15"/>
    <row r="310" ht="13" x14ac:dyDescent="0.15"/>
    <row r="311" ht="13" x14ac:dyDescent="0.15"/>
    <row r="312" ht="13" x14ac:dyDescent="0.15"/>
    <row r="313" ht="13" x14ac:dyDescent="0.15"/>
    <row r="314" ht="13" x14ac:dyDescent="0.15"/>
    <row r="315" ht="13" x14ac:dyDescent="0.15"/>
    <row r="316" ht="13" x14ac:dyDescent="0.15"/>
    <row r="317" ht="13" x14ac:dyDescent="0.15"/>
    <row r="318" ht="13" x14ac:dyDescent="0.15"/>
    <row r="319" ht="13" x14ac:dyDescent="0.15"/>
    <row r="320" ht="13" x14ac:dyDescent="0.15"/>
    <row r="321" ht="13" x14ac:dyDescent="0.15"/>
    <row r="322" ht="13" x14ac:dyDescent="0.15"/>
    <row r="323" ht="13" x14ac:dyDescent="0.15"/>
    <row r="324" ht="13" x14ac:dyDescent="0.15"/>
    <row r="325" ht="13" x14ac:dyDescent="0.15"/>
    <row r="326" ht="13" x14ac:dyDescent="0.15"/>
    <row r="327" ht="13" x14ac:dyDescent="0.15"/>
    <row r="328" ht="13" x14ac:dyDescent="0.15"/>
    <row r="329" ht="13" x14ac:dyDescent="0.15"/>
    <row r="330" ht="13" x14ac:dyDescent="0.15"/>
    <row r="331" ht="13" x14ac:dyDescent="0.15"/>
    <row r="332" ht="13" x14ac:dyDescent="0.15"/>
    <row r="333" ht="13" x14ac:dyDescent="0.15"/>
    <row r="334" ht="13" x14ac:dyDescent="0.15"/>
    <row r="335" ht="13" x14ac:dyDescent="0.15"/>
    <row r="336" ht="13" x14ac:dyDescent="0.15"/>
    <row r="337" ht="13" x14ac:dyDescent="0.15"/>
    <row r="338" ht="13" x14ac:dyDescent="0.15"/>
    <row r="339" ht="13" x14ac:dyDescent="0.15"/>
    <row r="340" ht="13" x14ac:dyDescent="0.15"/>
    <row r="341" ht="13" x14ac:dyDescent="0.15"/>
    <row r="342" ht="13" x14ac:dyDescent="0.15"/>
    <row r="343" ht="13" x14ac:dyDescent="0.15"/>
    <row r="344" ht="13" x14ac:dyDescent="0.15"/>
    <row r="345" ht="13" x14ac:dyDescent="0.15"/>
    <row r="346" ht="13" x14ac:dyDescent="0.15"/>
    <row r="347" ht="13" x14ac:dyDescent="0.15"/>
    <row r="348" ht="13" x14ac:dyDescent="0.15"/>
    <row r="349" ht="13" x14ac:dyDescent="0.15"/>
    <row r="350" ht="13" x14ac:dyDescent="0.15"/>
    <row r="351" ht="13" x14ac:dyDescent="0.15"/>
    <row r="352" ht="13" x14ac:dyDescent="0.15"/>
    <row r="353" ht="13" x14ac:dyDescent="0.15"/>
    <row r="354" ht="13" x14ac:dyDescent="0.15"/>
    <row r="355" ht="13" x14ac:dyDescent="0.15"/>
    <row r="356" ht="13" x14ac:dyDescent="0.15"/>
    <row r="357" ht="13" x14ac:dyDescent="0.15"/>
    <row r="358" ht="13" x14ac:dyDescent="0.15"/>
    <row r="359" ht="13" x14ac:dyDescent="0.15"/>
    <row r="360" ht="13" x14ac:dyDescent="0.15"/>
    <row r="361" ht="13" x14ac:dyDescent="0.15"/>
    <row r="362" ht="13" x14ac:dyDescent="0.15"/>
    <row r="363" ht="13" x14ac:dyDescent="0.15"/>
    <row r="364" ht="13" x14ac:dyDescent="0.15"/>
    <row r="365" ht="13" x14ac:dyDescent="0.15"/>
    <row r="366" ht="13" x14ac:dyDescent="0.15"/>
    <row r="367" ht="13" x14ac:dyDescent="0.15"/>
    <row r="368" ht="13" x14ac:dyDescent="0.15"/>
    <row r="369" ht="13" x14ac:dyDescent="0.15"/>
    <row r="370" ht="13" x14ac:dyDescent="0.15"/>
    <row r="371" ht="13" x14ac:dyDescent="0.15"/>
    <row r="372" ht="13" x14ac:dyDescent="0.15"/>
    <row r="373" ht="13" x14ac:dyDescent="0.15"/>
    <row r="374" ht="13" x14ac:dyDescent="0.15"/>
    <row r="375" ht="13" x14ac:dyDescent="0.15"/>
    <row r="376" ht="13" x14ac:dyDescent="0.15"/>
    <row r="377" ht="13" x14ac:dyDescent="0.15"/>
    <row r="378" ht="13" x14ac:dyDescent="0.15"/>
    <row r="379" ht="13" x14ac:dyDescent="0.15"/>
    <row r="380" ht="13" x14ac:dyDescent="0.15"/>
    <row r="381" ht="13" x14ac:dyDescent="0.15"/>
    <row r="382" ht="13" x14ac:dyDescent="0.15"/>
    <row r="383" ht="13" x14ac:dyDescent="0.15"/>
    <row r="384" ht="13" x14ac:dyDescent="0.15"/>
    <row r="385" ht="13" x14ac:dyDescent="0.15"/>
    <row r="386" ht="13" x14ac:dyDescent="0.15"/>
    <row r="387" ht="13" x14ac:dyDescent="0.15"/>
    <row r="388" ht="13" x14ac:dyDescent="0.15"/>
    <row r="389" ht="13" x14ac:dyDescent="0.15"/>
    <row r="390" ht="13" x14ac:dyDescent="0.15"/>
    <row r="391" ht="13" x14ac:dyDescent="0.15"/>
    <row r="392" ht="13" x14ac:dyDescent="0.15"/>
    <row r="393" ht="13" x14ac:dyDescent="0.15"/>
    <row r="394" ht="13" x14ac:dyDescent="0.15"/>
    <row r="395" ht="13" x14ac:dyDescent="0.15"/>
    <row r="396" ht="13" x14ac:dyDescent="0.15"/>
    <row r="397" ht="13" x14ac:dyDescent="0.15"/>
    <row r="398" ht="13" x14ac:dyDescent="0.15"/>
    <row r="399" ht="13" x14ac:dyDescent="0.15"/>
    <row r="400" ht="13" x14ac:dyDescent="0.15"/>
    <row r="401" ht="13" x14ac:dyDescent="0.15"/>
    <row r="402" ht="13" x14ac:dyDescent="0.15"/>
    <row r="403" ht="13" x14ac:dyDescent="0.15"/>
    <row r="404" ht="13" x14ac:dyDescent="0.15"/>
    <row r="405" ht="13" x14ac:dyDescent="0.15"/>
    <row r="406" ht="13" x14ac:dyDescent="0.15"/>
    <row r="407" ht="13" x14ac:dyDescent="0.15"/>
    <row r="408" ht="13" x14ac:dyDescent="0.15"/>
    <row r="409" ht="13" x14ac:dyDescent="0.15"/>
    <row r="410" ht="13" x14ac:dyDescent="0.15"/>
    <row r="411" ht="13" x14ac:dyDescent="0.15"/>
    <row r="412" ht="13" x14ac:dyDescent="0.15"/>
    <row r="413" ht="13" x14ac:dyDescent="0.15"/>
    <row r="414" ht="13" x14ac:dyDescent="0.15"/>
    <row r="415" ht="13" x14ac:dyDescent="0.15"/>
    <row r="416" ht="13" x14ac:dyDescent="0.15"/>
    <row r="417" ht="13" x14ac:dyDescent="0.15"/>
    <row r="418" ht="13" x14ac:dyDescent="0.15"/>
    <row r="419" ht="13" x14ac:dyDescent="0.15"/>
    <row r="420" ht="13" x14ac:dyDescent="0.15"/>
    <row r="421" ht="13" x14ac:dyDescent="0.15"/>
    <row r="422" ht="13" x14ac:dyDescent="0.15"/>
    <row r="423" ht="13" x14ac:dyDescent="0.15"/>
    <row r="424" ht="13" x14ac:dyDescent="0.15"/>
    <row r="425" ht="13" x14ac:dyDescent="0.15"/>
    <row r="426" ht="13" x14ac:dyDescent="0.15"/>
    <row r="427" ht="13" x14ac:dyDescent="0.15"/>
    <row r="428" ht="13" x14ac:dyDescent="0.15"/>
    <row r="429" ht="13" x14ac:dyDescent="0.15"/>
    <row r="430" ht="13" x14ac:dyDescent="0.15"/>
    <row r="431" ht="13" x14ac:dyDescent="0.15"/>
    <row r="432" ht="13" x14ac:dyDescent="0.15"/>
    <row r="433" ht="13" x14ac:dyDescent="0.15"/>
    <row r="434" ht="13" x14ac:dyDescent="0.15"/>
    <row r="435" ht="13" x14ac:dyDescent="0.15"/>
    <row r="436" ht="13" x14ac:dyDescent="0.15"/>
    <row r="437" ht="13" x14ac:dyDescent="0.15"/>
    <row r="438" ht="13" x14ac:dyDescent="0.15"/>
    <row r="439" ht="13" x14ac:dyDescent="0.15"/>
    <row r="440" ht="13" x14ac:dyDescent="0.15"/>
    <row r="441" ht="13" x14ac:dyDescent="0.15"/>
    <row r="442" ht="13" x14ac:dyDescent="0.15"/>
    <row r="443" ht="13" x14ac:dyDescent="0.15"/>
    <row r="444" ht="13" x14ac:dyDescent="0.15"/>
    <row r="445" ht="13" x14ac:dyDescent="0.15"/>
    <row r="446" ht="13" x14ac:dyDescent="0.15"/>
    <row r="447" ht="13" x14ac:dyDescent="0.15"/>
    <row r="448" ht="13" x14ac:dyDescent="0.15"/>
    <row r="449" ht="13" x14ac:dyDescent="0.15"/>
    <row r="450" ht="13" x14ac:dyDescent="0.15"/>
    <row r="451" ht="13" x14ac:dyDescent="0.15"/>
    <row r="452" ht="13" x14ac:dyDescent="0.15"/>
    <row r="453" ht="13" x14ac:dyDescent="0.15"/>
    <row r="454" ht="13" x14ac:dyDescent="0.15"/>
    <row r="455" ht="13" x14ac:dyDescent="0.15"/>
    <row r="456" ht="13" x14ac:dyDescent="0.15"/>
    <row r="457" ht="13" x14ac:dyDescent="0.15"/>
    <row r="458" ht="13" x14ac:dyDescent="0.15"/>
    <row r="459" ht="13" x14ac:dyDescent="0.15"/>
    <row r="460" ht="13" x14ac:dyDescent="0.15"/>
    <row r="461" ht="13" x14ac:dyDescent="0.15"/>
    <row r="462" ht="13" x14ac:dyDescent="0.15"/>
    <row r="463" ht="13" x14ac:dyDescent="0.15"/>
    <row r="464" ht="13" x14ac:dyDescent="0.15"/>
    <row r="465" ht="13" x14ac:dyDescent="0.15"/>
    <row r="466" ht="13" x14ac:dyDescent="0.15"/>
    <row r="467" ht="13" x14ac:dyDescent="0.15"/>
    <row r="468" ht="13" x14ac:dyDescent="0.15"/>
    <row r="469" ht="13" x14ac:dyDescent="0.15"/>
    <row r="470" ht="13" x14ac:dyDescent="0.15"/>
    <row r="471" ht="13" x14ac:dyDescent="0.15"/>
    <row r="472" ht="13" x14ac:dyDescent="0.15"/>
    <row r="473" ht="13" x14ac:dyDescent="0.15"/>
    <row r="474" ht="13" x14ac:dyDescent="0.15"/>
    <row r="475" ht="13" x14ac:dyDescent="0.15"/>
    <row r="476" ht="13" x14ac:dyDescent="0.15"/>
    <row r="477" ht="13" x14ac:dyDescent="0.15"/>
    <row r="478" ht="13" x14ac:dyDescent="0.15"/>
    <row r="479" ht="13" x14ac:dyDescent="0.15"/>
    <row r="480" ht="13" x14ac:dyDescent="0.15"/>
    <row r="481" ht="13" x14ac:dyDescent="0.15"/>
    <row r="482" ht="13" x14ac:dyDescent="0.15"/>
    <row r="483" ht="13" x14ac:dyDescent="0.15"/>
    <row r="484" ht="13" x14ac:dyDescent="0.15"/>
    <row r="485" ht="13" x14ac:dyDescent="0.15"/>
    <row r="486" ht="13" x14ac:dyDescent="0.15"/>
    <row r="487" ht="13" x14ac:dyDescent="0.15"/>
    <row r="488" ht="13" x14ac:dyDescent="0.15"/>
    <row r="489" ht="13" x14ac:dyDescent="0.15"/>
    <row r="490" ht="13" x14ac:dyDescent="0.15"/>
    <row r="491" ht="13" x14ac:dyDescent="0.15"/>
    <row r="492" ht="13" x14ac:dyDescent="0.15"/>
    <row r="493" ht="13" x14ac:dyDescent="0.15"/>
    <row r="494" ht="13" x14ac:dyDescent="0.15"/>
    <row r="495" ht="13" x14ac:dyDescent="0.15"/>
    <row r="496" ht="13" x14ac:dyDescent="0.15"/>
    <row r="497" ht="13" x14ac:dyDescent="0.15"/>
    <row r="498" ht="13" x14ac:dyDescent="0.15"/>
    <row r="499" ht="13" x14ac:dyDescent="0.15"/>
    <row r="500" ht="13" x14ac:dyDescent="0.15"/>
    <row r="501" ht="13" x14ac:dyDescent="0.15"/>
    <row r="502" ht="13" x14ac:dyDescent="0.15"/>
    <row r="503" ht="13" x14ac:dyDescent="0.15"/>
    <row r="504" ht="13" x14ac:dyDescent="0.15"/>
    <row r="505" ht="13" x14ac:dyDescent="0.15"/>
    <row r="506" ht="13" x14ac:dyDescent="0.15"/>
    <row r="507" ht="13" x14ac:dyDescent="0.15"/>
    <row r="508" ht="13" x14ac:dyDescent="0.15"/>
    <row r="509" ht="13" x14ac:dyDescent="0.15"/>
    <row r="510" ht="13" x14ac:dyDescent="0.15"/>
    <row r="511" ht="13" x14ac:dyDescent="0.15"/>
    <row r="512" ht="13" x14ac:dyDescent="0.15"/>
    <row r="513" ht="13" x14ac:dyDescent="0.15"/>
    <row r="514" ht="13" x14ac:dyDescent="0.15"/>
    <row r="515" ht="13" x14ac:dyDescent="0.15"/>
    <row r="516" ht="13" x14ac:dyDescent="0.15"/>
    <row r="517" ht="13" x14ac:dyDescent="0.15"/>
    <row r="518" ht="13" x14ac:dyDescent="0.15"/>
    <row r="519" ht="13" x14ac:dyDescent="0.15"/>
    <row r="520" ht="13" x14ac:dyDescent="0.15"/>
    <row r="521" ht="13" x14ac:dyDescent="0.15"/>
    <row r="522" ht="13" x14ac:dyDescent="0.15"/>
    <row r="523" ht="13" x14ac:dyDescent="0.15"/>
    <row r="524" ht="13" x14ac:dyDescent="0.15"/>
    <row r="525" ht="13" x14ac:dyDescent="0.15"/>
    <row r="526" ht="13" x14ac:dyDescent="0.15"/>
    <row r="527" ht="13" x14ac:dyDescent="0.15"/>
    <row r="528" ht="13" x14ac:dyDescent="0.15"/>
    <row r="529" ht="13" x14ac:dyDescent="0.15"/>
    <row r="530" ht="13" x14ac:dyDescent="0.15"/>
    <row r="531" ht="13" x14ac:dyDescent="0.15"/>
    <row r="532" ht="13" x14ac:dyDescent="0.15"/>
    <row r="533" ht="13" x14ac:dyDescent="0.15"/>
    <row r="534" ht="13" x14ac:dyDescent="0.15"/>
    <row r="535" ht="13" x14ac:dyDescent="0.15"/>
    <row r="536" ht="13" x14ac:dyDescent="0.15"/>
    <row r="537" ht="13" x14ac:dyDescent="0.15"/>
    <row r="538" ht="13" x14ac:dyDescent="0.15"/>
    <row r="539" ht="13" x14ac:dyDescent="0.15"/>
    <row r="540" ht="13" x14ac:dyDescent="0.15"/>
    <row r="541" ht="13" x14ac:dyDescent="0.15"/>
    <row r="542" ht="13" x14ac:dyDescent="0.15"/>
    <row r="543" ht="13" x14ac:dyDescent="0.15"/>
    <row r="544" ht="13" x14ac:dyDescent="0.15"/>
    <row r="545" ht="13" x14ac:dyDescent="0.15"/>
    <row r="546" ht="13" x14ac:dyDescent="0.15"/>
    <row r="547" ht="13" x14ac:dyDescent="0.15"/>
    <row r="548" ht="13" x14ac:dyDescent="0.15"/>
    <row r="549" ht="13" x14ac:dyDescent="0.15"/>
    <row r="550" ht="13" x14ac:dyDescent="0.15"/>
    <row r="551" ht="13" x14ac:dyDescent="0.15"/>
    <row r="552" ht="13" x14ac:dyDescent="0.15"/>
    <row r="553" ht="13" x14ac:dyDescent="0.15"/>
    <row r="554" ht="13" x14ac:dyDescent="0.15"/>
    <row r="555" ht="13" x14ac:dyDescent="0.15"/>
    <row r="556" ht="13" x14ac:dyDescent="0.15"/>
    <row r="557" ht="13" x14ac:dyDescent="0.15"/>
    <row r="558" ht="13" x14ac:dyDescent="0.15"/>
    <row r="559" ht="13" x14ac:dyDescent="0.15"/>
    <row r="560" ht="13" x14ac:dyDescent="0.15"/>
    <row r="561" ht="13" x14ac:dyDescent="0.15"/>
    <row r="562" ht="13" x14ac:dyDescent="0.15"/>
    <row r="563" ht="13" x14ac:dyDescent="0.15"/>
    <row r="564" ht="13" x14ac:dyDescent="0.15"/>
    <row r="565" ht="13" x14ac:dyDescent="0.15"/>
    <row r="566" ht="13" x14ac:dyDescent="0.15"/>
    <row r="567" ht="13" x14ac:dyDescent="0.15"/>
    <row r="568" ht="13" x14ac:dyDescent="0.15"/>
    <row r="569" ht="13" x14ac:dyDescent="0.15"/>
    <row r="570" ht="13" x14ac:dyDescent="0.15"/>
    <row r="571" ht="13" x14ac:dyDescent="0.15"/>
    <row r="572" ht="13" x14ac:dyDescent="0.15"/>
    <row r="573" ht="13" x14ac:dyDescent="0.15"/>
    <row r="574" ht="13" x14ac:dyDescent="0.15"/>
    <row r="575" ht="13" x14ac:dyDescent="0.15"/>
    <row r="576" ht="13" x14ac:dyDescent="0.15"/>
    <row r="577" ht="13" x14ac:dyDescent="0.15"/>
    <row r="578" ht="13" x14ac:dyDescent="0.15"/>
    <row r="579" ht="13" x14ac:dyDescent="0.15"/>
    <row r="580" ht="13" x14ac:dyDescent="0.15"/>
    <row r="581" ht="13" x14ac:dyDescent="0.15"/>
    <row r="582" ht="13" x14ac:dyDescent="0.15"/>
    <row r="583" ht="13" x14ac:dyDescent="0.15"/>
    <row r="584" ht="13" x14ac:dyDescent="0.15"/>
    <row r="585" ht="13" x14ac:dyDescent="0.15"/>
    <row r="586" ht="13" x14ac:dyDescent="0.15"/>
    <row r="587" ht="13" x14ac:dyDescent="0.15"/>
    <row r="588" ht="13" x14ac:dyDescent="0.15"/>
    <row r="589" ht="13" x14ac:dyDescent="0.15"/>
    <row r="590" ht="13" x14ac:dyDescent="0.15"/>
    <row r="591" ht="13" x14ac:dyDescent="0.15"/>
    <row r="592" ht="13" x14ac:dyDescent="0.15"/>
    <row r="593" ht="13" x14ac:dyDescent="0.15"/>
    <row r="594" ht="13" x14ac:dyDescent="0.15"/>
    <row r="595" ht="13" x14ac:dyDescent="0.15"/>
    <row r="596" ht="13" x14ac:dyDescent="0.15"/>
    <row r="597" ht="13" x14ac:dyDescent="0.15"/>
    <row r="598" ht="13" x14ac:dyDescent="0.15"/>
    <row r="599" ht="13" x14ac:dyDescent="0.15"/>
    <row r="600" ht="13" x14ac:dyDescent="0.15"/>
    <row r="601" ht="13" x14ac:dyDescent="0.15"/>
    <row r="602" ht="13" x14ac:dyDescent="0.15"/>
    <row r="603" ht="13" x14ac:dyDescent="0.15"/>
    <row r="604" ht="13" x14ac:dyDescent="0.15"/>
    <row r="605" ht="13" x14ac:dyDescent="0.15"/>
    <row r="606" ht="13" x14ac:dyDescent="0.15"/>
    <row r="607" ht="13" x14ac:dyDescent="0.15"/>
    <row r="608" ht="13" x14ac:dyDescent="0.15"/>
    <row r="609" ht="13" x14ac:dyDescent="0.15"/>
    <row r="610" ht="13" x14ac:dyDescent="0.15"/>
    <row r="611" ht="13" x14ac:dyDescent="0.15"/>
    <row r="612" ht="13" x14ac:dyDescent="0.15"/>
    <row r="613" ht="13" x14ac:dyDescent="0.15"/>
    <row r="614" ht="13" x14ac:dyDescent="0.15"/>
    <row r="615" ht="13" x14ac:dyDescent="0.15"/>
    <row r="616" ht="13" x14ac:dyDescent="0.15"/>
    <row r="617" ht="13" x14ac:dyDescent="0.15"/>
    <row r="618" ht="13" x14ac:dyDescent="0.15"/>
    <row r="619" ht="13" x14ac:dyDescent="0.15"/>
    <row r="620" ht="13" x14ac:dyDescent="0.15"/>
    <row r="621" ht="13" x14ac:dyDescent="0.15"/>
    <row r="622" ht="13" x14ac:dyDescent="0.15"/>
    <row r="623" ht="13" x14ac:dyDescent="0.15"/>
    <row r="624" ht="13" x14ac:dyDescent="0.15"/>
    <row r="625" ht="13" x14ac:dyDescent="0.15"/>
    <row r="626" ht="13" x14ac:dyDescent="0.15"/>
    <row r="627" ht="13" x14ac:dyDescent="0.15"/>
    <row r="628" ht="13" x14ac:dyDescent="0.15"/>
    <row r="629" ht="13" x14ac:dyDescent="0.15"/>
    <row r="630" ht="13" x14ac:dyDescent="0.15"/>
    <row r="631" ht="13" x14ac:dyDescent="0.15"/>
    <row r="632" ht="13" x14ac:dyDescent="0.15"/>
    <row r="633" ht="13" x14ac:dyDescent="0.15"/>
    <row r="634" ht="13" x14ac:dyDescent="0.15"/>
    <row r="635" ht="13" x14ac:dyDescent="0.15"/>
    <row r="636" ht="13" x14ac:dyDescent="0.15"/>
    <row r="637" ht="13" x14ac:dyDescent="0.15"/>
    <row r="638" ht="13" x14ac:dyDescent="0.15"/>
    <row r="639" ht="13" x14ac:dyDescent="0.15"/>
    <row r="640" ht="13" x14ac:dyDescent="0.15"/>
    <row r="641" ht="13" x14ac:dyDescent="0.15"/>
    <row r="642" ht="13" x14ac:dyDescent="0.15"/>
    <row r="643" ht="13" x14ac:dyDescent="0.15"/>
    <row r="644" ht="13" x14ac:dyDescent="0.15"/>
    <row r="645" ht="13" x14ac:dyDescent="0.15"/>
    <row r="646" ht="13" x14ac:dyDescent="0.15"/>
    <row r="647" ht="13" x14ac:dyDescent="0.15"/>
    <row r="648" ht="13" x14ac:dyDescent="0.15"/>
    <row r="649" ht="13" x14ac:dyDescent="0.15"/>
    <row r="650" ht="13" x14ac:dyDescent="0.15"/>
    <row r="651" ht="13" x14ac:dyDescent="0.15"/>
    <row r="652" ht="13" x14ac:dyDescent="0.15"/>
    <row r="653" ht="13" x14ac:dyDescent="0.15"/>
    <row r="654" ht="13" x14ac:dyDescent="0.15"/>
    <row r="655" ht="13" x14ac:dyDescent="0.15"/>
    <row r="656" ht="13" x14ac:dyDescent="0.15"/>
    <row r="657" ht="13" x14ac:dyDescent="0.15"/>
    <row r="658" ht="13" x14ac:dyDescent="0.15"/>
    <row r="659" ht="13" x14ac:dyDescent="0.15"/>
    <row r="660" ht="13" x14ac:dyDescent="0.15"/>
    <row r="661" ht="13" x14ac:dyDescent="0.15"/>
    <row r="662" ht="13" x14ac:dyDescent="0.15"/>
    <row r="663" ht="13" x14ac:dyDescent="0.15"/>
    <row r="664" ht="13" x14ac:dyDescent="0.15"/>
    <row r="665" ht="13" x14ac:dyDescent="0.15"/>
    <row r="666" ht="13" x14ac:dyDescent="0.15"/>
    <row r="667" ht="13" x14ac:dyDescent="0.15"/>
    <row r="668" ht="13" x14ac:dyDescent="0.15"/>
    <row r="669" ht="13" x14ac:dyDescent="0.15"/>
    <row r="670" ht="13" x14ac:dyDescent="0.15"/>
    <row r="671" ht="13" x14ac:dyDescent="0.15"/>
    <row r="672" ht="13" x14ac:dyDescent="0.15"/>
    <row r="673" ht="13" x14ac:dyDescent="0.15"/>
    <row r="674" ht="13" x14ac:dyDescent="0.15"/>
    <row r="675" ht="13" x14ac:dyDescent="0.15"/>
    <row r="676" ht="13" x14ac:dyDescent="0.15"/>
    <row r="677" ht="13" x14ac:dyDescent="0.15"/>
    <row r="678" ht="13" x14ac:dyDescent="0.15"/>
    <row r="679" ht="13" x14ac:dyDescent="0.15"/>
    <row r="680" ht="13" x14ac:dyDescent="0.15"/>
    <row r="681" ht="13" x14ac:dyDescent="0.15"/>
    <row r="682" ht="13" x14ac:dyDescent="0.15"/>
    <row r="683" ht="13" x14ac:dyDescent="0.15"/>
    <row r="684" ht="13" x14ac:dyDescent="0.15"/>
    <row r="685" ht="13" x14ac:dyDescent="0.15"/>
    <row r="686" ht="13" x14ac:dyDescent="0.15"/>
    <row r="687" ht="13" x14ac:dyDescent="0.15"/>
    <row r="688" ht="13" x14ac:dyDescent="0.15"/>
    <row r="689" ht="13" x14ac:dyDescent="0.15"/>
    <row r="690" ht="13" x14ac:dyDescent="0.15"/>
    <row r="691" ht="13" x14ac:dyDescent="0.15"/>
    <row r="692" ht="13" x14ac:dyDescent="0.15"/>
    <row r="693" ht="13" x14ac:dyDescent="0.15"/>
    <row r="694" ht="13" x14ac:dyDescent="0.15"/>
    <row r="695" ht="13" x14ac:dyDescent="0.15"/>
    <row r="696" ht="13" x14ac:dyDescent="0.15"/>
    <row r="697" ht="13" x14ac:dyDescent="0.15"/>
    <row r="698" ht="13" x14ac:dyDescent="0.15"/>
    <row r="699" ht="13" x14ac:dyDescent="0.15"/>
    <row r="700" ht="13" x14ac:dyDescent="0.15"/>
    <row r="701" ht="13" x14ac:dyDescent="0.15"/>
    <row r="702" ht="13" x14ac:dyDescent="0.15"/>
    <row r="703" ht="13" x14ac:dyDescent="0.15"/>
    <row r="704" ht="13" x14ac:dyDescent="0.15"/>
    <row r="705" ht="13" x14ac:dyDescent="0.15"/>
    <row r="706" ht="13" x14ac:dyDescent="0.15"/>
    <row r="707" ht="13" x14ac:dyDescent="0.15"/>
    <row r="708" ht="13" x14ac:dyDescent="0.15"/>
    <row r="709" ht="13" x14ac:dyDescent="0.15"/>
    <row r="710" ht="13" x14ac:dyDescent="0.15"/>
    <row r="711" ht="13" x14ac:dyDescent="0.15"/>
    <row r="712" ht="13" x14ac:dyDescent="0.15"/>
    <row r="713" ht="13" x14ac:dyDescent="0.15"/>
    <row r="714" ht="13" x14ac:dyDescent="0.15"/>
    <row r="715" ht="13" x14ac:dyDescent="0.15"/>
    <row r="716" ht="13" x14ac:dyDescent="0.15"/>
    <row r="717" ht="13" x14ac:dyDescent="0.15"/>
    <row r="718" ht="13" x14ac:dyDescent="0.15"/>
    <row r="719" ht="13" x14ac:dyDescent="0.15"/>
    <row r="720" ht="13" x14ac:dyDescent="0.15"/>
    <row r="721" ht="13" x14ac:dyDescent="0.15"/>
    <row r="722" ht="13" x14ac:dyDescent="0.15"/>
    <row r="723" ht="13" x14ac:dyDescent="0.15"/>
    <row r="724" ht="13" x14ac:dyDescent="0.15"/>
    <row r="725" ht="13" x14ac:dyDescent="0.15"/>
    <row r="726" ht="13" x14ac:dyDescent="0.15"/>
    <row r="727" ht="13" x14ac:dyDescent="0.15"/>
    <row r="728" ht="13" x14ac:dyDescent="0.15"/>
    <row r="729" ht="13" x14ac:dyDescent="0.15"/>
    <row r="730" ht="13" x14ac:dyDescent="0.15"/>
    <row r="731" ht="13" x14ac:dyDescent="0.15"/>
    <row r="732" ht="13" x14ac:dyDescent="0.15"/>
    <row r="733" ht="13" x14ac:dyDescent="0.15"/>
    <row r="734" ht="13" x14ac:dyDescent="0.15"/>
    <row r="735" ht="13" x14ac:dyDescent="0.15"/>
    <row r="736" ht="13" x14ac:dyDescent="0.15"/>
    <row r="737" ht="13" x14ac:dyDescent="0.15"/>
    <row r="738" ht="13" x14ac:dyDescent="0.15"/>
    <row r="739" ht="13" x14ac:dyDescent="0.15"/>
    <row r="740" ht="13" x14ac:dyDescent="0.15"/>
    <row r="741" ht="13" x14ac:dyDescent="0.15"/>
    <row r="742" ht="13" x14ac:dyDescent="0.15"/>
    <row r="743" ht="13" x14ac:dyDescent="0.15"/>
    <row r="744" ht="13" x14ac:dyDescent="0.15"/>
    <row r="745" ht="13" x14ac:dyDescent="0.15"/>
    <row r="746" ht="13" x14ac:dyDescent="0.15"/>
    <row r="747" ht="13" x14ac:dyDescent="0.15"/>
    <row r="748" ht="13" x14ac:dyDescent="0.15"/>
    <row r="749" ht="13" x14ac:dyDescent="0.15"/>
    <row r="750" ht="13" x14ac:dyDescent="0.15"/>
    <row r="751" ht="13" x14ac:dyDescent="0.15"/>
    <row r="752" ht="13" x14ac:dyDescent="0.15"/>
    <row r="753" ht="13" x14ac:dyDescent="0.15"/>
    <row r="754" ht="13" x14ac:dyDescent="0.15"/>
    <row r="755" ht="13" x14ac:dyDescent="0.15"/>
    <row r="756" ht="13" x14ac:dyDescent="0.15"/>
    <row r="757" ht="13" x14ac:dyDescent="0.15"/>
    <row r="758" ht="13" x14ac:dyDescent="0.15"/>
    <row r="759" ht="13" x14ac:dyDescent="0.15"/>
    <row r="760" ht="13" x14ac:dyDescent="0.15"/>
    <row r="761" ht="13" x14ac:dyDescent="0.15"/>
    <row r="762" ht="13" x14ac:dyDescent="0.15"/>
    <row r="763" ht="13" x14ac:dyDescent="0.15"/>
    <row r="764" ht="13" x14ac:dyDescent="0.15"/>
    <row r="765" ht="13" x14ac:dyDescent="0.15"/>
    <row r="766" ht="13" x14ac:dyDescent="0.15"/>
    <row r="767" ht="13" x14ac:dyDescent="0.15"/>
    <row r="768" ht="13" x14ac:dyDescent="0.15"/>
    <row r="769" ht="13" x14ac:dyDescent="0.15"/>
    <row r="770" ht="13" x14ac:dyDescent="0.15"/>
    <row r="771" ht="13" x14ac:dyDescent="0.15"/>
    <row r="772" ht="13" x14ac:dyDescent="0.15"/>
    <row r="773" ht="13" x14ac:dyDescent="0.15"/>
    <row r="774" ht="13" x14ac:dyDescent="0.15"/>
    <row r="775" ht="13" x14ac:dyDescent="0.15"/>
    <row r="776" ht="13" x14ac:dyDescent="0.15"/>
    <row r="777" ht="13" x14ac:dyDescent="0.15"/>
    <row r="778" ht="13" x14ac:dyDescent="0.15"/>
    <row r="779" ht="13" x14ac:dyDescent="0.15"/>
    <row r="780" ht="13" x14ac:dyDescent="0.15"/>
    <row r="781" ht="13" x14ac:dyDescent="0.15"/>
    <row r="782" ht="13" x14ac:dyDescent="0.15"/>
    <row r="783" ht="13" x14ac:dyDescent="0.15"/>
    <row r="784" ht="13" x14ac:dyDescent="0.15"/>
    <row r="785" ht="13" x14ac:dyDescent="0.15"/>
    <row r="786" ht="13" x14ac:dyDescent="0.15"/>
    <row r="787" ht="13" x14ac:dyDescent="0.15"/>
    <row r="788" ht="13" x14ac:dyDescent="0.15"/>
    <row r="789" ht="13" x14ac:dyDescent="0.15"/>
    <row r="790" ht="13" x14ac:dyDescent="0.15"/>
    <row r="791" ht="13" x14ac:dyDescent="0.15"/>
    <row r="792" ht="13" x14ac:dyDescent="0.15"/>
    <row r="793" ht="13" x14ac:dyDescent="0.15"/>
    <row r="794" ht="13" x14ac:dyDescent="0.15"/>
    <row r="795" ht="13" x14ac:dyDescent="0.15"/>
    <row r="796" ht="13" x14ac:dyDescent="0.15"/>
    <row r="797" ht="13" x14ac:dyDescent="0.15"/>
    <row r="798" ht="13" x14ac:dyDescent="0.15"/>
    <row r="799" ht="13" x14ac:dyDescent="0.15"/>
    <row r="800" ht="13" x14ac:dyDescent="0.15"/>
    <row r="801" ht="13" x14ac:dyDescent="0.15"/>
    <row r="802" ht="13" x14ac:dyDescent="0.15"/>
    <row r="803" ht="13" x14ac:dyDescent="0.15"/>
    <row r="804" ht="13" x14ac:dyDescent="0.15"/>
    <row r="805" ht="13" x14ac:dyDescent="0.15"/>
    <row r="806" ht="13" x14ac:dyDescent="0.15"/>
    <row r="807" ht="13" x14ac:dyDescent="0.15"/>
    <row r="808" ht="13" x14ac:dyDescent="0.15"/>
    <row r="809" ht="13" x14ac:dyDescent="0.15"/>
    <row r="810" ht="13" x14ac:dyDescent="0.15"/>
    <row r="811" ht="13" x14ac:dyDescent="0.15"/>
    <row r="812" ht="13" x14ac:dyDescent="0.15"/>
    <row r="813" ht="13" x14ac:dyDescent="0.15"/>
    <row r="814" ht="13" x14ac:dyDescent="0.15"/>
    <row r="815" ht="13" x14ac:dyDescent="0.15"/>
    <row r="816" ht="13" x14ac:dyDescent="0.15"/>
    <row r="817" ht="13" x14ac:dyDescent="0.15"/>
    <row r="818" ht="13" x14ac:dyDescent="0.15"/>
    <row r="819" ht="13" x14ac:dyDescent="0.15"/>
    <row r="820" ht="13" x14ac:dyDescent="0.15"/>
    <row r="821" ht="13" x14ac:dyDescent="0.15"/>
    <row r="822" ht="13" x14ac:dyDescent="0.15"/>
    <row r="823" ht="13" x14ac:dyDescent="0.15"/>
    <row r="824" ht="13" x14ac:dyDescent="0.15"/>
    <row r="825" ht="13" x14ac:dyDescent="0.15"/>
    <row r="826" ht="13" x14ac:dyDescent="0.15"/>
    <row r="827" ht="13" x14ac:dyDescent="0.15"/>
    <row r="828" ht="13" x14ac:dyDescent="0.15"/>
    <row r="829" ht="13" x14ac:dyDescent="0.15"/>
    <row r="830" ht="13" x14ac:dyDescent="0.15"/>
    <row r="831" ht="13" x14ac:dyDescent="0.15"/>
    <row r="832" ht="13" x14ac:dyDescent="0.15"/>
    <row r="833" ht="13" x14ac:dyDescent="0.15"/>
    <row r="834" ht="13" x14ac:dyDescent="0.15"/>
    <row r="835" ht="13" x14ac:dyDescent="0.15"/>
    <row r="836" ht="13" x14ac:dyDescent="0.15"/>
    <row r="837" ht="13" x14ac:dyDescent="0.15"/>
    <row r="838" ht="13" x14ac:dyDescent="0.15"/>
    <row r="839" ht="13" x14ac:dyDescent="0.15"/>
    <row r="840" ht="13" x14ac:dyDescent="0.15"/>
    <row r="841" ht="13" x14ac:dyDescent="0.15"/>
    <row r="842" ht="13" x14ac:dyDescent="0.15"/>
    <row r="843" ht="13" x14ac:dyDescent="0.15"/>
    <row r="844" ht="13" x14ac:dyDescent="0.15"/>
    <row r="845" ht="13" x14ac:dyDescent="0.15"/>
    <row r="846" ht="13" x14ac:dyDescent="0.15"/>
    <row r="847" ht="13" x14ac:dyDescent="0.15"/>
    <row r="848" ht="13" x14ac:dyDescent="0.15"/>
    <row r="849" ht="13" x14ac:dyDescent="0.15"/>
    <row r="850" ht="13" x14ac:dyDescent="0.15"/>
    <row r="851" ht="13" x14ac:dyDescent="0.15"/>
    <row r="852" ht="13" x14ac:dyDescent="0.15"/>
    <row r="853" ht="13" x14ac:dyDescent="0.15"/>
    <row r="854" ht="13" x14ac:dyDescent="0.15"/>
    <row r="855" ht="13" x14ac:dyDescent="0.15"/>
    <row r="856" ht="13" x14ac:dyDescent="0.15"/>
    <row r="857" ht="13" x14ac:dyDescent="0.15"/>
    <row r="858" ht="13" x14ac:dyDescent="0.15"/>
    <row r="859" ht="13" x14ac:dyDescent="0.15"/>
    <row r="860" ht="13" x14ac:dyDescent="0.15"/>
    <row r="861" ht="13" x14ac:dyDescent="0.15"/>
    <row r="862" ht="13" x14ac:dyDescent="0.15"/>
    <row r="863" ht="13" x14ac:dyDescent="0.15"/>
    <row r="864" ht="13" x14ac:dyDescent="0.15"/>
    <row r="865" ht="13" x14ac:dyDescent="0.15"/>
    <row r="866" ht="13" x14ac:dyDescent="0.15"/>
    <row r="867" ht="13" x14ac:dyDescent="0.15"/>
    <row r="868" ht="13" x14ac:dyDescent="0.15"/>
    <row r="869" ht="13" x14ac:dyDescent="0.15"/>
    <row r="870" ht="13" x14ac:dyDescent="0.15"/>
    <row r="871" ht="13" x14ac:dyDescent="0.15"/>
    <row r="872" ht="13" x14ac:dyDescent="0.15"/>
    <row r="873" ht="13" x14ac:dyDescent="0.15"/>
    <row r="874" ht="13" x14ac:dyDescent="0.15"/>
    <row r="875" ht="13" x14ac:dyDescent="0.15"/>
    <row r="876" ht="13" x14ac:dyDescent="0.15"/>
    <row r="877" ht="13" x14ac:dyDescent="0.15"/>
    <row r="878" ht="13" x14ac:dyDescent="0.15"/>
    <row r="879" ht="13" x14ac:dyDescent="0.15"/>
    <row r="880" ht="13" x14ac:dyDescent="0.15"/>
    <row r="881" ht="13" x14ac:dyDescent="0.15"/>
    <row r="882" ht="13" x14ac:dyDescent="0.15"/>
    <row r="883" ht="13" x14ac:dyDescent="0.15"/>
    <row r="884" ht="13" x14ac:dyDescent="0.15"/>
    <row r="885" ht="13" x14ac:dyDescent="0.15"/>
    <row r="886" ht="13" x14ac:dyDescent="0.15"/>
    <row r="887" ht="13" x14ac:dyDescent="0.15"/>
    <row r="888" ht="13" x14ac:dyDescent="0.15"/>
    <row r="889" ht="13" x14ac:dyDescent="0.15"/>
    <row r="890" ht="13" x14ac:dyDescent="0.15"/>
    <row r="891" ht="13" x14ac:dyDescent="0.15"/>
    <row r="892" ht="13" x14ac:dyDescent="0.15"/>
    <row r="893" ht="13" x14ac:dyDescent="0.15"/>
    <row r="894" ht="13" x14ac:dyDescent="0.15"/>
    <row r="895" ht="13" x14ac:dyDescent="0.15"/>
    <row r="896" ht="13" x14ac:dyDescent="0.15"/>
    <row r="897" ht="13" x14ac:dyDescent="0.15"/>
    <row r="898" ht="13" x14ac:dyDescent="0.15"/>
    <row r="899" ht="13" x14ac:dyDescent="0.15"/>
    <row r="900" ht="13" x14ac:dyDescent="0.15"/>
    <row r="901" ht="13" x14ac:dyDescent="0.15"/>
    <row r="902" ht="13" x14ac:dyDescent="0.15"/>
    <row r="903" ht="13" x14ac:dyDescent="0.15"/>
    <row r="904" ht="13" x14ac:dyDescent="0.15"/>
    <row r="905" ht="13" x14ac:dyDescent="0.15"/>
    <row r="906" ht="13" x14ac:dyDescent="0.15"/>
    <row r="907" ht="13" x14ac:dyDescent="0.15"/>
    <row r="908" ht="13" x14ac:dyDescent="0.15"/>
    <row r="909" ht="13" x14ac:dyDescent="0.15"/>
    <row r="910" ht="13" x14ac:dyDescent="0.15"/>
    <row r="911" ht="13" x14ac:dyDescent="0.15"/>
    <row r="912" ht="13" x14ac:dyDescent="0.15"/>
    <row r="913" ht="13" x14ac:dyDescent="0.15"/>
    <row r="914" ht="13" x14ac:dyDescent="0.15"/>
    <row r="915" ht="13" x14ac:dyDescent="0.15"/>
    <row r="916" ht="13" x14ac:dyDescent="0.15"/>
    <row r="917" ht="13" x14ac:dyDescent="0.15"/>
    <row r="918" ht="13" x14ac:dyDescent="0.15"/>
    <row r="919" ht="13" x14ac:dyDescent="0.15"/>
    <row r="920" ht="13" x14ac:dyDescent="0.15"/>
    <row r="921" ht="13" x14ac:dyDescent="0.15"/>
    <row r="922" ht="13" x14ac:dyDescent="0.15"/>
    <row r="923" ht="13" x14ac:dyDescent="0.15"/>
    <row r="924" ht="13" x14ac:dyDescent="0.15"/>
    <row r="925" ht="13" x14ac:dyDescent="0.15"/>
    <row r="926" ht="13" x14ac:dyDescent="0.15"/>
    <row r="927" ht="13" x14ac:dyDescent="0.15"/>
    <row r="928" ht="13" x14ac:dyDescent="0.15"/>
    <row r="929" ht="13" x14ac:dyDescent="0.15"/>
    <row r="930" ht="13" x14ac:dyDescent="0.15"/>
    <row r="931" ht="13" x14ac:dyDescent="0.15"/>
    <row r="932" ht="13" x14ac:dyDescent="0.15"/>
    <row r="933" ht="13" x14ac:dyDescent="0.15"/>
    <row r="934" ht="13" x14ac:dyDescent="0.15"/>
    <row r="935" ht="13" x14ac:dyDescent="0.15"/>
    <row r="936" ht="13" x14ac:dyDescent="0.15"/>
    <row r="937" ht="13" x14ac:dyDescent="0.15"/>
    <row r="938" ht="13" x14ac:dyDescent="0.15"/>
    <row r="939" ht="13" x14ac:dyDescent="0.15"/>
    <row r="940" ht="13" x14ac:dyDescent="0.15"/>
    <row r="941" ht="13" x14ac:dyDescent="0.15"/>
    <row r="942" ht="13" x14ac:dyDescent="0.15"/>
    <row r="943" ht="13" x14ac:dyDescent="0.15"/>
    <row r="944" ht="13" x14ac:dyDescent="0.15"/>
    <row r="945" ht="13" x14ac:dyDescent="0.15"/>
    <row r="946" ht="13" x14ac:dyDescent="0.15"/>
    <row r="947" ht="13" x14ac:dyDescent="0.15"/>
    <row r="948" ht="13" x14ac:dyDescent="0.15"/>
    <row r="949" ht="13" x14ac:dyDescent="0.15"/>
    <row r="950" ht="13" x14ac:dyDescent="0.15"/>
    <row r="951" ht="13" x14ac:dyDescent="0.15"/>
    <row r="952" ht="13" x14ac:dyDescent="0.15"/>
    <row r="953" ht="13" x14ac:dyDescent="0.15"/>
    <row r="954" ht="13" x14ac:dyDescent="0.15"/>
    <row r="955" ht="13" x14ac:dyDescent="0.15"/>
    <row r="956" ht="13" x14ac:dyDescent="0.15"/>
    <row r="957" ht="13" x14ac:dyDescent="0.15"/>
    <row r="958" ht="13" x14ac:dyDescent="0.15"/>
    <row r="959" ht="13" x14ac:dyDescent="0.15"/>
    <row r="960" ht="13" x14ac:dyDescent="0.15"/>
    <row r="961" ht="13" x14ac:dyDescent="0.15"/>
    <row r="962" ht="13" x14ac:dyDescent="0.15"/>
    <row r="963" ht="13" x14ac:dyDescent="0.15"/>
    <row r="964" ht="13" x14ac:dyDescent="0.15"/>
    <row r="965" ht="13" x14ac:dyDescent="0.15"/>
    <row r="966" ht="13" x14ac:dyDescent="0.15"/>
    <row r="967" ht="13" x14ac:dyDescent="0.15"/>
    <row r="968" ht="13" x14ac:dyDescent="0.15"/>
    <row r="969" ht="13" x14ac:dyDescent="0.15"/>
    <row r="970" ht="13" x14ac:dyDescent="0.15"/>
    <row r="971" ht="13" x14ac:dyDescent="0.15"/>
    <row r="972" ht="13" x14ac:dyDescent="0.15"/>
    <row r="973" ht="13" x14ac:dyDescent="0.15"/>
    <row r="974" ht="13" x14ac:dyDescent="0.15"/>
    <row r="975" ht="13" x14ac:dyDescent="0.15"/>
    <row r="976" ht="13" x14ac:dyDescent="0.15"/>
    <row r="977" ht="13" x14ac:dyDescent="0.15"/>
    <row r="978" ht="13" x14ac:dyDescent="0.15"/>
    <row r="979" ht="13" x14ac:dyDescent="0.15"/>
    <row r="980" ht="13" x14ac:dyDescent="0.15"/>
    <row r="981" ht="13" x14ac:dyDescent="0.15"/>
    <row r="982" ht="13" x14ac:dyDescent="0.15"/>
    <row r="983" ht="13" x14ac:dyDescent="0.15"/>
    <row r="984" ht="13" x14ac:dyDescent="0.15"/>
    <row r="985" ht="13" x14ac:dyDescent="0.15"/>
    <row r="986" ht="13" x14ac:dyDescent="0.15"/>
    <row r="987" ht="13" x14ac:dyDescent="0.15"/>
    <row r="988" ht="13" x14ac:dyDescent="0.15"/>
    <row r="989" ht="13" x14ac:dyDescent="0.15"/>
  </sheetData>
  <mergeCells count="2">
    <mergeCell ref="A26:B26"/>
    <mergeCell ref="A33:C3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CCC7-48A7-4E15-B0A8-8D1516737FF6}">
  <dimension ref="D6:M49"/>
  <sheetViews>
    <sheetView workbookViewId="0">
      <selection activeCell="F9" sqref="F9"/>
    </sheetView>
  </sheetViews>
  <sheetFormatPr baseColWidth="10" defaultColWidth="8.83203125" defaultRowHeight="13" x14ac:dyDescent="0.15"/>
  <cols>
    <col min="4" max="4" width="28.33203125" bestFit="1" customWidth="1"/>
    <col min="6" max="6" width="14.1640625" bestFit="1" customWidth="1"/>
    <col min="7" max="7" width="10.83203125" customWidth="1"/>
    <col min="8" max="8" width="11.5" bestFit="1" customWidth="1"/>
    <col min="9" max="9" width="10.83203125" customWidth="1"/>
    <col min="10" max="10" width="11.5" bestFit="1" customWidth="1"/>
    <col min="11" max="11" width="10.83203125" customWidth="1"/>
    <col min="12" max="12" width="11.5" bestFit="1" customWidth="1"/>
    <col min="13" max="13" width="10.83203125" customWidth="1"/>
  </cols>
  <sheetData>
    <row r="6" spans="4:11" x14ac:dyDescent="0.15">
      <c r="F6" s="198" t="s">
        <v>519</v>
      </c>
      <c r="G6" s="198"/>
      <c r="H6" s="198" t="s">
        <v>520</v>
      </c>
      <c r="I6" s="198"/>
    </row>
    <row r="7" spans="4:11" x14ac:dyDescent="0.15">
      <c r="F7" s="160" t="s">
        <v>502</v>
      </c>
      <c r="G7" s="160" t="s">
        <v>516</v>
      </c>
      <c r="H7" s="160" t="s">
        <v>517</v>
      </c>
      <c r="I7" s="160" t="s">
        <v>518</v>
      </c>
    </row>
    <row r="8" spans="4:11" x14ac:dyDescent="0.15">
      <c r="D8" s="160" t="s">
        <v>513</v>
      </c>
    </row>
    <row r="9" spans="4:11" x14ac:dyDescent="0.15">
      <c r="D9" t="s">
        <v>521</v>
      </c>
      <c r="F9" s="177">
        <f>'4. Cap Table'!C15</f>
        <v>10200000</v>
      </c>
      <c r="G9" s="178">
        <f>F9/$F$12</f>
        <v>0.80314960629921262</v>
      </c>
      <c r="H9" s="177">
        <f>F9</f>
        <v>10200000</v>
      </c>
      <c r="I9" s="178">
        <f>H9/$H$12</f>
        <v>0.72340425531914898</v>
      </c>
    </row>
    <row r="10" spans="4:11" x14ac:dyDescent="0.15">
      <c r="D10" t="s">
        <v>514</v>
      </c>
      <c r="F10" s="177">
        <f>'4. Cap Table'!B29</f>
        <v>2500000</v>
      </c>
      <c r="G10" s="178">
        <f t="shared" ref="G10:G12" si="0">F10/$F$12</f>
        <v>0.19685039370078741</v>
      </c>
      <c r="H10" s="177">
        <f>F10</f>
        <v>2500000</v>
      </c>
      <c r="I10" s="178">
        <f t="shared" ref="I10:I12" si="1">H10/$H$12</f>
        <v>0.1773049645390071</v>
      </c>
    </row>
    <row r="11" spans="4:11" x14ac:dyDescent="0.15">
      <c r="D11" t="s">
        <v>515</v>
      </c>
      <c r="F11" s="177">
        <v>0</v>
      </c>
      <c r="G11" s="178">
        <f t="shared" si="0"/>
        <v>0</v>
      </c>
      <c r="H11" s="177">
        <f>'4. Cap Table'!B30</f>
        <v>1400000</v>
      </c>
      <c r="I11" s="178">
        <f t="shared" si="1"/>
        <v>9.9290780141843976E-2</v>
      </c>
    </row>
    <row r="12" spans="4:11" x14ac:dyDescent="0.15">
      <c r="D12" s="160" t="s">
        <v>368</v>
      </c>
      <c r="F12" s="179">
        <f>SUM(F9:F11)</f>
        <v>12700000</v>
      </c>
      <c r="G12" s="180">
        <f t="shared" si="0"/>
        <v>1</v>
      </c>
      <c r="H12" s="179">
        <f>SUM(H9:H11)</f>
        <v>14100000</v>
      </c>
      <c r="I12" s="180">
        <f t="shared" si="1"/>
        <v>1</v>
      </c>
    </row>
    <row r="14" spans="4:11" x14ac:dyDescent="0.15">
      <c r="F14" s="198" t="str">
        <f>F6</f>
        <v>Pre-Offering</v>
      </c>
      <c r="G14" s="198"/>
      <c r="H14" s="198"/>
      <c r="I14" s="198" t="s">
        <v>520</v>
      </c>
      <c r="J14" s="198"/>
      <c r="K14" s="198"/>
    </row>
    <row r="15" spans="4:11" x14ac:dyDescent="0.15">
      <c r="F15" s="158" t="str">
        <f>F7</f>
        <v>Shares Out</v>
      </c>
      <c r="G15" s="158" t="s">
        <v>341</v>
      </c>
      <c r="H15" s="158" t="str">
        <f>G7</f>
        <v xml:space="preserve">% of Out </v>
      </c>
      <c r="I15" s="158" t="str">
        <f>F15</f>
        <v>Shares Out</v>
      </c>
      <c r="J15" s="158" t="str">
        <f t="shared" ref="J15:K15" si="2">G15</f>
        <v>Class</v>
      </c>
      <c r="K15" s="158" t="str">
        <f t="shared" si="2"/>
        <v xml:space="preserve">% of Out </v>
      </c>
    </row>
    <row r="16" spans="4:11" x14ac:dyDescent="0.15">
      <c r="D16" t="str">
        <f>D8</f>
        <v xml:space="preserve">Pro Forma Capitalization </v>
      </c>
    </row>
    <row r="17" spans="4:11" x14ac:dyDescent="0.15">
      <c r="D17" t="str">
        <f>'4. Cap Table'!A12</f>
        <v>John Christian Barlow Sr</v>
      </c>
      <c r="F17" s="177">
        <f>'4. Cap Table'!C12</f>
        <v>3400000</v>
      </c>
      <c r="G17" s="181" t="s">
        <v>522</v>
      </c>
      <c r="H17" s="178">
        <f>F17/$F$12</f>
        <v>0.26771653543307089</v>
      </c>
      <c r="I17" s="177">
        <f>F17</f>
        <v>3400000</v>
      </c>
      <c r="J17" s="182" t="str">
        <f>G17</f>
        <v>Class B</v>
      </c>
      <c r="K17" s="178">
        <f>I17/$H$12</f>
        <v>0.24113475177304963</v>
      </c>
    </row>
    <row r="18" spans="4:11" x14ac:dyDescent="0.15">
      <c r="D18" t="str">
        <f>'4. Cap Table'!A13</f>
        <v>John Christian Barlow Jr</v>
      </c>
      <c r="F18" s="177">
        <f>'4. Cap Table'!C13</f>
        <v>3400000</v>
      </c>
      <c r="G18" s="181" t="s">
        <v>522</v>
      </c>
      <c r="H18" s="178">
        <f t="shared" ref="H18:H19" si="3">F18/$F$12</f>
        <v>0.26771653543307089</v>
      </c>
      <c r="I18" s="177">
        <f t="shared" ref="I18:J19" si="4">F18</f>
        <v>3400000</v>
      </c>
      <c r="J18" s="182" t="str">
        <f t="shared" si="4"/>
        <v>Class B</v>
      </c>
      <c r="K18" s="178">
        <f t="shared" ref="K18:K19" si="5">I18/$H$12</f>
        <v>0.24113475177304963</v>
      </c>
    </row>
    <row r="19" spans="4:11" x14ac:dyDescent="0.15">
      <c r="D19" t="str">
        <f>'4. Cap Table'!A14</f>
        <v>Saul Marc Kenton</v>
      </c>
      <c r="F19" s="177">
        <f>'4. Cap Table'!C14</f>
        <v>3400000</v>
      </c>
      <c r="G19" s="181" t="s">
        <v>522</v>
      </c>
      <c r="H19" s="178">
        <f t="shared" si="3"/>
        <v>0.26771653543307089</v>
      </c>
      <c r="I19" s="177">
        <f t="shared" si="4"/>
        <v>3400000</v>
      </c>
      <c r="J19" s="182" t="str">
        <f t="shared" si="4"/>
        <v>Class B</v>
      </c>
      <c r="K19" s="178">
        <f t="shared" si="5"/>
        <v>0.24113475177304963</v>
      </c>
    </row>
    <row r="20" spans="4:11" x14ac:dyDescent="0.15">
      <c r="F20" s="177">
        <f>SUM(F17:F19)</f>
        <v>10200000</v>
      </c>
      <c r="H20" s="183">
        <f>SUM(H17:H19)</f>
        <v>0.80314960629921273</v>
      </c>
      <c r="I20" s="177">
        <f>SUM(I17:I19)</f>
        <v>10200000</v>
      </c>
      <c r="K20" s="183">
        <f>SUM(K17:K19)</f>
        <v>0.72340425531914887</v>
      </c>
    </row>
    <row r="23" spans="4:11" x14ac:dyDescent="0.15">
      <c r="D23" s="153" t="s">
        <v>523</v>
      </c>
      <c r="F23">
        <f>F20*5</f>
        <v>51000000</v>
      </c>
      <c r="G23" s="178">
        <f>F23/F25</f>
        <v>0.92896174863387981</v>
      </c>
    </row>
    <row r="24" spans="4:11" x14ac:dyDescent="0.15">
      <c r="D24" s="153" t="s">
        <v>524</v>
      </c>
      <c r="F24" s="177">
        <f>H12-I20</f>
        <v>3900000</v>
      </c>
      <c r="G24" s="178">
        <f>F24/F25</f>
        <v>7.1038251366120214E-2</v>
      </c>
    </row>
    <row r="25" spans="4:11" x14ac:dyDescent="0.15">
      <c r="F25">
        <f>SUM(F23:F24)</f>
        <v>54900000</v>
      </c>
    </row>
    <row r="30" spans="4:11" x14ac:dyDescent="0.15">
      <c r="D30" s="160" t="s">
        <v>542</v>
      </c>
    </row>
    <row r="31" spans="4:11" x14ac:dyDescent="0.15">
      <c r="D31" t="s">
        <v>539</v>
      </c>
      <c r="F31" s="155">
        <v>79800000</v>
      </c>
    </row>
    <row r="32" spans="4:11" x14ac:dyDescent="0.15">
      <c r="D32" t="s">
        <v>522</v>
      </c>
      <c r="F32" s="155">
        <v>10200000</v>
      </c>
    </row>
    <row r="33" spans="4:13" x14ac:dyDescent="0.15">
      <c r="D33" t="s">
        <v>540</v>
      </c>
      <c r="F33" s="155">
        <v>8000000</v>
      </c>
    </row>
    <row r="34" spans="4:13" x14ac:dyDescent="0.15">
      <c r="D34" t="s">
        <v>541</v>
      </c>
      <c r="F34" s="155">
        <f>2500000/'4. Cap Table'!D23</f>
        <v>2000000</v>
      </c>
    </row>
    <row r="35" spans="4:13" x14ac:dyDescent="0.15">
      <c r="D35" t="s">
        <v>538</v>
      </c>
      <c r="F35" s="177">
        <f>SUM(F31:F34)</f>
        <v>100000000</v>
      </c>
    </row>
    <row r="38" spans="4:13" x14ac:dyDescent="0.15">
      <c r="D38" s="153" t="s">
        <v>543</v>
      </c>
      <c r="F38" s="176">
        <f>F31+F32</f>
        <v>90000000</v>
      </c>
    </row>
    <row r="43" spans="4:13" ht="28" x14ac:dyDescent="0.15">
      <c r="D43" s="185" t="s">
        <v>525</v>
      </c>
      <c r="E43" s="184"/>
      <c r="F43" s="184" t="s">
        <v>526</v>
      </c>
      <c r="G43" s="184" t="s">
        <v>534</v>
      </c>
      <c r="H43" s="184" t="s">
        <v>527</v>
      </c>
      <c r="I43" s="184" t="s">
        <v>535</v>
      </c>
      <c r="J43" s="184" t="s">
        <v>528</v>
      </c>
      <c r="K43" s="184" t="s">
        <v>536</v>
      </c>
      <c r="L43" s="184" t="s">
        <v>529</v>
      </c>
      <c r="M43" s="184" t="s">
        <v>537</v>
      </c>
    </row>
    <row r="44" spans="4:13" x14ac:dyDescent="0.15">
      <c r="D44" t="s">
        <v>530</v>
      </c>
      <c r="F44" s="157">
        <f>175000+99400</f>
        <v>274400</v>
      </c>
      <c r="G44" s="178">
        <f>F44/$F$49</f>
        <v>0.31359999999999999</v>
      </c>
      <c r="H44" s="157">
        <f>250000+142000</f>
        <v>392000</v>
      </c>
      <c r="I44" s="178">
        <f>H44/$H$49</f>
        <v>0.29866666666666669</v>
      </c>
      <c r="J44" s="157">
        <f>250000+142000</f>
        <v>392000</v>
      </c>
      <c r="K44" s="178">
        <f>J44/$J$49</f>
        <v>0.224</v>
      </c>
      <c r="L44" s="157">
        <f>500000+284000</f>
        <v>784000</v>
      </c>
      <c r="M44" s="178">
        <f>L44/$L$49</f>
        <v>0.31359999999999999</v>
      </c>
    </row>
    <row r="45" spans="4:13" x14ac:dyDescent="0.15">
      <c r="D45" t="s">
        <v>512</v>
      </c>
      <c r="F45" s="155">
        <v>62500</v>
      </c>
      <c r="G45" s="178">
        <f t="shared" ref="G45:G49" si="6">F45/$F$49</f>
        <v>7.1428571428571425E-2</v>
      </c>
      <c r="H45" s="155">
        <v>87500</v>
      </c>
      <c r="I45" s="178">
        <f t="shared" ref="I45:I49" si="7">H45/$H$49</f>
        <v>6.6666666666666666E-2</v>
      </c>
      <c r="J45" s="155">
        <v>125000</v>
      </c>
      <c r="K45" s="178">
        <f t="shared" ref="K45:K49" si="8">J45/$J$49</f>
        <v>7.1428571428571425E-2</v>
      </c>
      <c r="L45" s="155">
        <v>187500</v>
      </c>
      <c r="M45" s="178">
        <f t="shared" ref="M45:M49" si="9">L45/$L$49</f>
        <v>7.4999999999999997E-2</v>
      </c>
    </row>
    <row r="46" spans="4:13" x14ac:dyDescent="0.15">
      <c r="D46" t="s">
        <v>531</v>
      </c>
      <c r="F46" s="155">
        <f>266600+75000+51500+51500+37500+12500</f>
        <v>494600</v>
      </c>
      <c r="G46" s="178">
        <f t="shared" si="6"/>
        <v>0.5652571428571429</v>
      </c>
      <c r="H46" s="155">
        <f>317500+105000+72100+70000+75000+25000</f>
        <v>664600</v>
      </c>
      <c r="I46" s="178">
        <f t="shared" si="7"/>
        <v>0.50636190476190479</v>
      </c>
      <c r="J46" s="155">
        <f>635000+150000+103000+70000+75000+25000</f>
        <v>1058000</v>
      </c>
      <c r="K46" s="178">
        <f t="shared" si="8"/>
        <v>0.60457142857142854</v>
      </c>
      <c r="L46" s="155">
        <f>635000+180000+123600+84000+90000+25000</f>
        <v>1137600</v>
      </c>
      <c r="M46" s="178">
        <f t="shared" si="9"/>
        <v>0.45504</v>
      </c>
    </row>
    <row r="47" spans="4:13" x14ac:dyDescent="0.15">
      <c r="D47" t="s">
        <v>532</v>
      </c>
      <c r="F47" s="155">
        <v>43500</v>
      </c>
      <c r="G47" s="178">
        <f t="shared" si="6"/>
        <v>4.9714285714285711E-2</v>
      </c>
      <c r="H47" s="155">
        <v>168400</v>
      </c>
      <c r="I47" s="178">
        <f t="shared" si="7"/>
        <v>0.12830476190476189</v>
      </c>
      <c r="J47" s="155">
        <v>175000</v>
      </c>
      <c r="K47" s="178">
        <f t="shared" si="8"/>
        <v>0.1</v>
      </c>
      <c r="L47" s="155">
        <v>250000</v>
      </c>
      <c r="M47" s="178">
        <f t="shared" si="9"/>
        <v>0.1</v>
      </c>
    </row>
    <row r="48" spans="4:13" x14ac:dyDescent="0.15">
      <c r="D48" t="s">
        <v>533</v>
      </c>
      <c r="F48" s="155">
        <v>0</v>
      </c>
      <c r="G48" s="178">
        <f t="shared" si="6"/>
        <v>0</v>
      </c>
      <c r="H48" s="155">
        <v>0</v>
      </c>
      <c r="I48" s="178">
        <f t="shared" si="7"/>
        <v>0</v>
      </c>
      <c r="J48" s="155">
        <v>0</v>
      </c>
      <c r="K48" s="178">
        <f t="shared" si="8"/>
        <v>0</v>
      </c>
      <c r="L48" s="155">
        <v>140900</v>
      </c>
      <c r="M48" s="178">
        <f t="shared" si="9"/>
        <v>5.636E-2</v>
      </c>
    </row>
    <row r="49" spans="4:13" x14ac:dyDescent="0.15">
      <c r="D49" t="s">
        <v>368</v>
      </c>
      <c r="F49" s="157">
        <f>SUM(F44:F48)</f>
        <v>875000</v>
      </c>
      <c r="G49" s="178">
        <f t="shared" si="6"/>
        <v>1</v>
      </c>
      <c r="H49" s="157">
        <f>SUM(H44:H47)</f>
        <v>1312500</v>
      </c>
      <c r="I49" s="178">
        <f t="shared" si="7"/>
        <v>1</v>
      </c>
      <c r="J49" s="157">
        <f>SUM(J44:J47)</f>
        <v>1750000</v>
      </c>
      <c r="K49" s="178">
        <f t="shared" si="8"/>
        <v>1</v>
      </c>
      <c r="L49" s="157">
        <f>SUM(L44:L48)</f>
        <v>2500000</v>
      </c>
      <c r="M49" s="178">
        <f t="shared" si="9"/>
        <v>1</v>
      </c>
    </row>
  </sheetData>
  <mergeCells count="4">
    <mergeCell ref="F6:G6"/>
    <mergeCell ref="H6:I6"/>
    <mergeCell ref="F14:H14"/>
    <mergeCell ref="I14:K14"/>
  </mergeCells>
  <pageMargins left="0.7" right="0.7" top="0.75" bottom="0.75" header="0.3" footer="0.3"/>
  <ignoredErrors>
    <ignoredError sqref="G12 I44 I4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3:N69"/>
  <sheetViews>
    <sheetView workbookViewId="0">
      <selection activeCell="J6" sqref="J6:J8"/>
    </sheetView>
  </sheetViews>
  <sheetFormatPr baseColWidth="10" defaultColWidth="12.6640625" defaultRowHeight="15.75" customHeight="1" x14ac:dyDescent="0.15"/>
  <cols>
    <col min="2" max="2" width="8.83203125" customWidth="1"/>
    <col min="3" max="3" width="7.5" customWidth="1"/>
    <col min="4" max="4" width="29.83203125" customWidth="1"/>
    <col min="9" max="9" width="13.5" bestFit="1" customWidth="1"/>
    <col min="10" max="10" width="35" customWidth="1"/>
  </cols>
  <sheetData>
    <row r="3" spans="2:10" ht="13" x14ac:dyDescent="0.15">
      <c r="B3" s="199" t="s">
        <v>106</v>
      </c>
      <c r="C3" s="190"/>
      <c r="D3" s="190"/>
      <c r="E3" s="190"/>
      <c r="F3" s="190"/>
      <c r="G3" s="190"/>
      <c r="H3" s="190"/>
      <c r="I3" s="191"/>
    </row>
    <row r="4" spans="2:10" ht="13" x14ac:dyDescent="0.15">
      <c r="B4" s="192"/>
      <c r="C4" s="193"/>
      <c r="D4" s="193"/>
      <c r="E4" s="193"/>
      <c r="F4" s="193"/>
      <c r="G4" s="193"/>
      <c r="H4" s="193"/>
      <c r="I4" s="194"/>
    </row>
    <row r="5" spans="2:10" ht="13" x14ac:dyDescent="0.15">
      <c r="B5" s="32" t="s">
        <v>107</v>
      </c>
      <c r="C5" s="33"/>
      <c r="D5" s="34"/>
      <c r="E5" s="12" t="s">
        <v>78</v>
      </c>
      <c r="F5" s="12" t="s">
        <v>79</v>
      </c>
      <c r="G5" s="12" t="s">
        <v>80</v>
      </c>
      <c r="H5" s="12" t="s">
        <v>81</v>
      </c>
      <c r="I5" s="12" t="s">
        <v>82</v>
      </c>
    </row>
    <row r="6" spans="2:10" ht="13" x14ac:dyDescent="0.15">
      <c r="B6" s="35"/>
      <c r="C6" s="35" t="s">
        <v>108</v>
      </c>
      <c r="D6" s="36"/>
      <c r="E6" s="37">
        <f>'12. Revenue Product 1 -- Invest'!C20</f>
        <v>1365664.1711229945</v>
      </c>
      <c r="F6" s="37"/>
      <c r="G6" s="38"/>
      <c r="H6" s="39"/>
      <c r="I6" s="39"/>
      <c r="J6" s="200"/>
    </row>
    <row r="7" spans="2:10" ht="13" x14ac:dyDescent="0.15">
      <c r="B7" s="35"/>
      <c r="C7" s="35" t="s">
        <v>109</v>
      </c>
      <c r="D7" s="36"/>
      <c r="E7" s="40"/>
      <c r="F7" s="41">
        <f>'12. Revenue Product 1 -- Invest'!D20</f>
        <v>2731328.342245989</v>
      </c>
      <c r="G7" s="40"/>
      <c r="H7" s="41"/>
      <c r="I7" s="41"/>
      <c r="J7" s="201"/>
    </row>
    <row r="8" spans="2:10" ht="13" x14ac:dyDescent="0.15">
      <c r="B8" s="35"/>
      <c r="C8" s="35" t="s">
        <v>110</v>
      </c>
      <c r="D8" s="36"/>
      <c r="E8" s="40"/>
      <c r="F8" s="41"/>
      <c r="G8" s="40">
        <f>'12. Revenue Product 1 -- Invest'!E20</f>
        <v>4096992.5133689842</v>
      </c>
      <c r="H8" s="41">
        <f>'12. Revenue Product 1 -- Invest'!F20</f>
        <v>9754113.3689839579</v>
      </c>
      <c r="I8" s="41">
        <f>'12. Revenue Product 1 -- Invest'!G20</f>
        <v>23605219.251336895</v>
      </c>
      <c r="J8" s="201"/>
    </row>
    <row r="9" spans="2:10" ht="13" x14ac:dyDescent="0.15">
      <c r="B9" s="35"/>
      <c r="C9" s="35"/>
      <c r="D9" s="36"/>
      <c r="E9" s="40"/>
      <c r="F9" s="41"/>
      <c r="G9" s="40"/>
      <c r="H9" s="41"/>
      <c r="I9" s="41"/>
    </row>
    <row r="10" spans="2:10" ht="13" x14ac:dyDescent="0.15">
      <c r="B10" s="35"/>
      <c r="C10" s="35" t="s">
        <v>111</v>
      </c>
      <c r="D10" s="36"/>
      <c r="E10" s="40">
        <f>'13. Revenue Product 2 -- Real E'!C28</f>
        <v>2996718.352059925</v>
      </c>
      <c r="F10" s="41"/>
      <c r="G10" s="40"/>
      <c r="H10" s="41"/>
      <c r="I10" s="41"/>
    </row>
    <row r="11" spans="2:10" ht="13" x14ac:dyDescent="0.15">
      <c r="B11" s="35"/>
      <c r="C11" s="35" t="s">
        <v>112</v>
      </c>
      <c r="D11" s="36"/>
      <c r="E11" s="40"/>
      <c r="F11" s="41">
        <f>'13. Revenue Product 2 -- Real E'!E28</f>
        <v>6157640.4494382022</v>
      </c>
      <c r="G11" s="40"/>
      <c r="H11" s="41"/>
      <c r="I11" s="41"/>
    </row>
    <row r="12" spans="2:10" ht="13" x14ac:dyDescent="0.15">
      <c r="B12" s="35"/>
      <c r="C12" s="35" t="s">
        <v>113</v>
      </c>
      <c r="D12" s="36"/>
      <c r="E12" s="40"/>
      <c r="F12" s="41"/>
      <c r="G12" s="40">
        <f>'13. Revenue Product 2 -- Real E'!G28</f>
        <v>12315280.898876404</v>
      </c>
      <c r="H12" s="41">
        <f>'13. Revenue Product 2 -- Real E'!I28</f>
        <v>24630561.797752809</v>
      </c>
      <c r="I12" s="41">
        <f>'13. Revenue Product 2 -- Real E'!K28</f>
        <v>41050936.329588011</v>
      </c>
    </row>
    <row r="13" spans="2:10" ht="13" x14ac:dyDescent="0.15">
      <c r="B13" s="35"/>
      <c r="C13" s="35"/>
      <c r="D13" s="36"/>
      <c r="E13" s="40"/>
      <c r="F13" s="41"/>
      <c r="G13" s="40"/>
      <c r="H13" s="41"/>
      <c r="I13" s="41"/>
    </row>
    <row r="14" spans="2:10" ht="13" x14ac:dyDescent="0.15">
      <c r="B14" s="35"/>
      <c r="C14" s="35" t="s">
        <v>114</v>
      </c>
      <c r="D14" s="36"/>
      <c r="E14" s="40">
        <f>'14. Revenue Product 3 -- Platfo'!H4</f>
        <v>429505.4545454543</v>
      </c>
      <c r="F14" s="41"/>
      <c r="G14" s="40"/>
      <c r="H14" s="41"/>
      <c r="I14" s="41"/>
    </row>
    <row r="15" spans="2:10" ht="13" x14ac:dyDescent="0.15">
      <c r="B15" s="35"/>
      <c r="C15" s="35" t="s">
        <v>115</v>
      </c>
      <c r="D15" s="36"/>
      <c r="E15" s="40"/>
      <c r="F15" s="41">
        <f>'14. Revenue Product 3 -- Platfo'!I4</f>
        <v>882545.45454545401</v>
      </c>
      <c r="G15" s="36"/>
      <c r="H15" s="36"/>
      <c r="I15" s="36"/>
    </row>
    <row r="16" spans="2:10" ht="13" x14ac:dyDescent="0.15">
      <c r="B16" s="35"/>
      <c r="C16" s="35" t="s">
        <v>116</v>
      </c>
      <c r="D16" s="36"/>
      <c r="E16" s="40"/>
      <c r="F16" s="41"/>
      <c r="G16" s="40">
        <f>'14. Revenue Product 3 -- Platfo'!J4</f>
        <v>1765090.909090908</v>
      </c>
      <c r="H16" s="41">
        <f>'14. Revenue Product 3 -- Platfo'!K4</f>
        <v>3530181.818181816</v>
      </c>
      <c r="I16" s="41">
        <f>'14. Revenue Product 3 -- Platfo'!L4</f>
        <v>5883636.3636363596</v>
      </c>
    </row>
    <row r="17" spans="2:10" ht="13" x14ac:dyDescent="0.15">
      <c r="B17" s="35"/>
      <c r="C17" s="35"/>
      <c r="D17" s="36"/>
      <c r="E17" s="40"/>
      <c r="F17" s="41"/>
      <c r="G17" s="40"/>
      <c r="H17" s="41"/>
      <c r="I17" s="41"/>
    </row>
    <row r="18" spans="2:10" ht="13" x14ac:dyDescent="0.15">
      <c r="B18" s="35"/>
      <c r="C18" s="35" t="s">
        <v>117</v>
      </c>
      <c r="D18" s="36"/>
      <c r="E18" s="40">
        <f>'15. Revenue Product 4 -- SaaS W'!C8</f>
        <v>1949507.9028089887</v>
      </c>
      <c r="F18" s="41"/>
      <c r="G18" s="40"/>
      <c r="H18" s="41"/>
      <c r="I18" s="41"/>
    </row>
    <row r="19" spans="2:10" ht="13" x14ac:dyDescent="0.15">
      <c r="B19" s="35"/>
      <c r="C19" s="35" t="s">
        <v>118</v>
      </c>
      <c r="D19" s="36"/>
      <c r="E19" s="40"/>
      <c r="F19" s="41">
        <f>'15. Revenue Product 4 -- SaaS W'!D8</f>
        <v>3423646.2174157305</v>
      </c>
      <c r="G19" s="40"/>
      <c r="H19" s="41"/>
      <c r="I19" s="41"/>
    </row>
    <row r="20" spans="2:10" ht="13" x14ac:dyDescent="0.15">
      <c r="B20" s="35"/>
      <c r="C20" s="35" t="s">
        <v>119</v>
      </c>
      <c r="D20" s="36"/>
      <c r="E20" s="40"/>
      <c r="F20" s="41"/>
      <c r="G20" s="40">
        <f>'15. Revenue Product 4 -- SaaS W'!E8</f>
        <v>5347292.2848314606</v>
      </c>
      <c r="H20" s="41">
        <f>'15. Revenue Product 4 -- SaaS W'!F8</f>
        <v>9194584.4196629226</v>
      </c>
      <c r="I20" s="41">
        <f>'15. Revenue Product 4 -- SaaS W'!G8</f>
        <v>12657640.599438202</v>
      </c>
    </row>
    <row r="21" spans="2:10" ht="13" x14ac:dyDescent="0.15">
      <c r="B21" s="35"/>
      <c r="C21" s="35"/>
      <c r="D21" s="36"/>
      <c r="E21" s="40"/>
      <c r="F21" s="41"/>
      <c r="G21" s="40"/>
      <c r="H21" s="41"/>
      <c r="I21" s="41"/>
    </row>
    <row r="22" spans="2:10" ht="13" x14ac:dyDescent="0.15">
      <c r="B22" s="35"/>
      <c r="C22" s="35" t="s">
        <v>120</v>
      </c>
      <c r="D22" s="36"/>
      <c r="E22" s="40">
        <f>'16. Revenue Product 5 -- Retain'!C9</f>
        <v>2406417.1122994651</v>
      </c>
      <c r="F22" s="41"/>
      <c r="G22" s="40"/>
      <c r="H22" s="41"/>
      <c r="I22" s="41"/>
    </row>
    <row r="23" spans="2:10" ht="13" x14ac:dyDescent="0.15">
      <c r="B23" s="35"/>
      <c r="C23" s="35" t="s">
        <v>121</v>
      </c>
      <c r="D23" s="36"/>
      <c r="E23" s="40"/>
      <c r="F23" s="41">
        <f>'16. Revenue Product 5 -- Retain'!D9</f>
        <v>7219251.3368983958</v>
      </c>
      <c r="G23" s="40"/>
      <c r="H23" s="41"/>
      <c r="I23" s="41"/>
    </row>
    <row r="24" spans="2:10" ht="13" x14ac:dyDescent="0.15">
      <c r="B24" s="35"/>
      <c r="C24" s="35" t="s">
        <v>122</v>
      </c>
      <c r="D24" s="36"/>
      <c r="E24" s="40"/>
      <c r="F24" s="41"/>
      <c r="G24" s="40">
        <f>'16. Revenue Product 5 -- Retain'!E9</f>
        <v>14438502.673796792</v>
      </c>
      <c r="H24" s="41">
        <f>'16. Revenue Product 5 -- Retain'!F9</f>
        <v>28877005.347593583</v>
      </c>
      <c r="I24" s="41">
        <f>'16. Revenue Product 5 -- Retain'!G9</f>
        <v>64973262.03208556</v>
      </c>
    </row>
    <row r="25" spans="2:10" ht="13" x14ac:dyDescent="0.15">
      <c r="B25" s="35"/>
      <c r="C25" s="35"/>
      <c r="D25" s="36"/>
      <c r="E25" s="40"/>
      <c r="F25" s="41"/>
      <c r="G25" s="40"/>
      <c r="H25" s="42"/>
      <c r="I25" s="42"/>
    </row>
    <row r="26" spans="2:10" ht="13" x14ac:dyDescent="0.15">
      <c r="B26" s="32" t="s">
        <v>83</v>
      </c>
      <c r="C26" s="33"/>
      <c r="D26" s="34"/>
      <c r="E26" s="43">
        <f t="shared" ref="E26:G26" si="0">SUM(E6:E25)</f>
        <v>9147812.9928368274</v>
      </c>
      <c r="F26" s="43">
        <f t="shared" si="0"/>
        <v>20414411.80054377</v>
      </c>
      <c r="G26" s="43">
        <f t="shared" si="0"/>
        <v>37963159.279964551</v>
      </c>
      <c r="H26" s="43">
        <f t="shared" ref="H26:I26" si="1">SUM(H6:H24)</f>
        <v>75986446.752175093</v>
      </c>
      <c r="I26" s="43">
        <f t="shared" si="1"/>
        <v>148170694.57608503</v>
      </c>
    </row>
    <row r="27" spans="2:10" ht="13" x14ac:dyDescent="0.15">
      <c r="B27" s="35"/>
      <c r="C27" s="35" t="s">
        <v>123</v>
      </c>
      <c r="D27" s="36"/>
      <c r="E27" s="40"/>
      <c r="F27" s="41"/>
      <c r="G27" s="40"/>
      <c r="H27" s="41"/>
      <c r="I27" s="37"/>
    </row>
    <row r="28" spans="2:10" ht="13" x14ac:dyDescent="0.15">
      <c r="B28" s="35"/>
      <c r="C28" s="35"/>
      <c r="D28" s="36" t="s">
        <v>124</v>
      </c>
      <c r="E28" s="40">
        <f>'10. Costs'!H9*'10. Costs'!I9</f>
        <v>141648</v>
      </c>
      <c r="F28" s="41">
        <f t="shared" ref="F28:I28" si="2">E28</f>
        <v>141648</v>
      </c>
      <c r="G28" s="41">
        <f t="shared" si="2"/>
        <v>141648</v>
      </c>
      <c r="H28" s="41">
        <f t="shared" si="2"/>
        <v>141648</v>
      </c>
      <c r="I28" s="41">
        <f t="shared" si="2"/>
        <v>141648</v>
      </c>
    </row>
    <row r="29" spans="2:10" ht="13" x14ac:dyDescent="0.15">
      <c r="B29" s="35"/>
      <c r="C29" s="35"/>
      <c r="D29" s="36" t="s">
        <v>125</v>
      </c>
      <c r="E29" s="40">
        <f>'10. Costs'!H11</f>
        <v>383000</v>
      </c>
      <c r="F29" s="41">
        <f t="shared" ref="F29:I29" si="3">E29</f>
        <v>383000</v>
      </c>
      <c r="G29" s="41">
        <f t="shared" si="3"/>
        <v>383000</v>
      </c>
      <c r="H29" s="41">
        <f t="shared" si="3"/>
        <v>383000</v>
      </c>
      <c r="I29" s="41">
        <f t="shared" si="3"/>
        <v>383000</v>
      </c>
      <c r="J29" s="44"/>
    </row>
    <row r="30" spans="2:10" ht="13" x14ac:dyDescent="0.15">
      <c r="B30" s="35"/>
      <c r="C30" s="35"/>
      <c r="D30" s="36" t="s">
        <v>126</v>
      </c>
      <c r="E30" s="40"/>
      <c r="F30" s="41"/>
      <c r="G30" s="40">
        <f>'10. Costs'!H36*'10. Costs'!I36</f>
        <v>183000</v>
      </c>
      <c r="H30" s="41">
        <f t="shared" ref="H30:I30" si="4">G30</f>
        <v>183000</v>
      </c>
      <c r="I30" s="41">
        <f t="shared" si="4"/>
        <v>183000</v>
      </c>
    </row>
    <row r="31" spans="2:10" ht="13" x14ac:dyDescent="0.15">
      <c r="B31" s="35"/>
      <c r="C31" s="35"/>
      <c r="D31" s="36" t="s">
        <v>127</v>
      </c>
      <c r="E31" s="40"/>
      <c r="F31" s="41"/>
      <c r="G31" s="40">
        <f>'10. Costs'!H37</f>
        <v>180000</v>
      </c>
      <c r="H31" s="41">
        <f t="shared" ref="H31:I31" si="5">G31</f>
        <v>180000</v>
      </c>
      <c r="I31" s="41">
        <f t="shared" si="5"/>
        <v>180000</v>
      </c>
      <c r="J31" s="44"/>
    </row>
    <row r="32" spans="2:10" ht="13" x14ac:dyDescent="0.15">
      <c r="B32" s="35"/>
      <c r="C32" s="35"/>
      <c r="D32" s="36" t="s">
        <v>128</v>
      </c>
      <c r="E32" s="40"/>
      <c r="F32" s="41"/>
      <c r="G32" s="40"/>
      <c r="H32" s="41"/>
      <c r="I32" s="37">
        <f>'10. Costs'!H51*'10. Costs'!I51</f>
        <v>36000</v>
      </c>
    </row>
    <row r="33" spans="2:10" ht="13" x14ac:dyDescent="0.15">
      <c r="B33" s="35"/>
      <c r="C33" s="35"/>
      <c r="D33" s="36" t="s">
        <v>129</v>
      </c>
      <c r="E33" s="40"/>
      <c r="F33" s="41"/>
      <c r="G33" s="40"/>
      <c r="H33" s="41"/>
      <c r="I33" s="37">
        <f>'10. Costs'!H52</f>
        <v>75000</v>
      </c>
    </row>
    <row r="34" spans="2:10" ht="13" x14ac:dyDescent="0.15">
      <c r="B34" s="35"/>
      <c r="C34" s="35"/>
      <c r="D34" s="36"/>
      <c r="E34" s="40"/>
      <c r="F34" s="41"/>
      <c r="G34" s="40"/>
      <c r="H34" s="41"/>
      <c r="I34" s="37"/>
    </row>
    <row r="35" spans="2:10" ht="13" x14ac:dyDescent="0.15">
      <c r="B35" s="35"/>
      <c r="C35" s="35" t="s">
        <v>84</v>
      </c>
      <c r="D35" s="36"/>
      <c r="E35" s="45">
        <f t="shared" ref="E35:I35" si="6">SUM(E28:E33)</f>
        <v>524648</v>
      </c>
      <c r="F35" s="41">
        <f t="shared" si="6"/>
        <v>524648</v>
      </c>
      <c r="G35" s="40">
        <f t="shared" si="6"/>
        <v>887648</v>
      </c>
      <c r="H35" s="41">
        <f t="shared" si="6"/>
        <v>887648</v>
      </c>
      <c r="I35" s="37">
        <f t="shared" si="6"/>
        <v>998648</v>
      </c>
    </row>
    <row r="36" spans="2:10" ht="13" x14ac:dyDescent="0.15">
      <c r="B36" s="32" t="s">
        <v>85</v>
      </c>
      <c r="C36" s="33"/>
      <c r="D36" s="34"/>
      <c r="E36" s="43">
        <f t="shared" ref="E36:I36" si="7">E26-E35</f>
        <v>8623164.9928368274</v>
      </c>
      <c r="F36" s="43">
        <f t="shared" si="7"/>
        <v>19889763.80054377</v>
      </c>
      <c r="G36" s="43">
        <f t="shared" si="7"/>
        <v>37075511.279964551</v>
      </c>
      <c r="H36" s="43">
        <f t="shared" si="7"/>
        <v>75098798.752175093</v>
      </c>
      <c r="I36" s="43">
        <f t="shared" si="7"/>
        <v>147172046.57608503</v>
      </c>
    </row>
    <row r="37" spans="2:10" ht="13" x14ac:dyDescent="0.15">
      <c r="B37" s="33"/>
      <c r="C37" s="46"/>
      <c r="D37" s="46"/>
      <c r="E37" s="47"/>
      <c r="F37" s="47"/>
      <c r="G37" s="47"/>
      <c r="H37" s="47"/>
      <c r="I37" s="43"/>
    </row>
    <row r="38" spans="2:10" ht="13" x14ac:dyDescent="0.15">
      <c r="B38" s="32" t="s">
        <v>130</v>
      </c>
      <c r="C38" s="46"/>
      <c r="D38" s="46"/>
      <c r="E38" s="47"/>
      <c r="F38" s="47"/>
      <c r="G38" s="47"/>
      <c r="H38" s="47"/>
      <c r="I38" s="48"/>
    </row>
    <row r="39" spans="2:10" ht="13" x14ac:dyDescent="0.15">
      <c r="B39" s="49"/>
      <c r="C39" s="50"/>
      <c r="D39" s="50"/>
      <c r="E39" s="39"/>
      <c r="F39" s="51"/>
      <c r="G39" s="39"/>
      <c r="H39" s="51"/>
      <c r="I39" s="39"/>
    </row>
    <row r="40" spans="2:10" ht="13" x14ac:dyDescent="0.15">
      <c r="B40" s="35"/>
      <c r="C40" s="4" t="s">
        <v>131</v>
      </c>
      <c r="E40" s="41"/>
      <c r="F40" s="40"/>
      <c r="G40" s="41"/>
      <c r="H40" s="40"/>
      <c r="I40" s="41"/>
    </row>
    <row r="41" spans="2:10" ht="13" x14ac:dyDescent="0.15">
      <c r="B41" s="35"/>
      <c r="C41" s="4"/>
      <c r="E41" s="41"/>
      <c r="F41" s="40"/>
      <c r="G41" s="41"/>
      <c r="H41" s="40"/>
      <c r="I41" s="41"/>
    </row>
    <row r="42" spans="2:10" ht="13" x14ac:dyDescent="0.15">
      <c r="B42" s="33"/>
      <c r="C42" s="46" t="s">
        <v>132</v>
      </c>
      <c r="D42" s="46"/>
      <c r="E42" s="48">
        <f t="shared" ref="E42:I42" si="8">E6*0.08</f>
        <v>109253.13368983957</v>
      </c>
      <c r="F42" s="48">
        <f t="shared" si="8"/>
        <v>0</v>
      </c>
      <c r="G42" s="48">
        <f t="shared" si="8"/>
        <v>0</v>
      </c>
      <c r="H42" s="48">
        <f t="shared" si="8"/>
        <v>0</v>
      </c>
      <c r="I42" s="48">
        <f t="shared" si="8"/>
        <v>0</v>
      </c>
      <c r="J42" s="44"/>
    </row>
    <row r="43" spans="2:10" ht="13" x14ac:dyDescent="0.15">
      <c r="B43" s="35"/>
      <c r="E43" s="41"/>
      <c r="F43" s="40"/>
      <c r="G43" s="41"/>
      <c r="H43" s="40"/>
      <c r="I43" s="41"/>
    </row>
    <row r="44" spans="2:10" ht="13" x14ac:dyDescent="0.15">
      <c r="B44" s="35"/>
      <c r="C44" s="4" t="s">
        <v>133</v>
      </c>
      <c r="E44" s="41"/>
      <c r="F44" s="40"/>
      <c r="G44" s="41"/>
      <c r="H44" s="40"/>
      <c r="I44" s="41"/>
    </row>
    <row r="45" spans="2:10" ht="13" x14ac:dyDescent="0.15">
      <c r="B45" s="35"/>
      <c r="C45" s="4" t="s">
        <v>134</v>
      </c>
      <c r="E45" s="41"/>
      <c r="F45" s="40"/>
      <c r="G45" s="41"/>
      <c r="H45" s="40"/>
      <c r="I45" s="41"/>
    </row>
    <row r="46" spans="2:10" ht="13" x14ac:dyDescent="0.15">
      <c r="B46" s="35"/>
      <c r="D46" s="4" t="s">
        <v>135</v>
      </c>
      <c r="E46" s="41">
        <f>'11. Staff'!E9</f>
        <v>705500</v>
      </c>
      <c r="F46" s="41">
        <f>'11. Staff'!F9</f>
        <v>776051.1</v>
      </c>
      <c r="G46" s="41">
        <f>'11. Staff'!G9</f>
        <v>853656.10000000009</v>
      </c>
      <c r="H46" s="41">
        <f>'11. Staff'!H9</f>
        <v>939021.60000000021</v>
      </c>
      <c r="I46" s="41">
        <f>'11. Staff'!I9</f>
        <v>1032923.6500000003</v>
      </c>
    </row>
    <row r="47" spans="2:10" ht="13" x14ac:dyDescent="0.15">
      <c r="B47" s="35"/>
      <c r="D47" s="4" t="s">
        <v>136</v>
      </c>
      <c r="E47" s="41">
        <f>'11. Staff'!G40</f>
        <v>1707323.8</v>
      </c>
      <c r="F47" s="41">
        <f>'11. Staff'!H40</f>
        <v>1878056.1800000002</v>
      </c>
      <c r="G47" s="41">
        <f>'11. Staff'!I40</f>
        <v>3307361.798</v>
      </c>
      <c r="H47" s="41">
        <f>'11. Staff'!J40</f>
        <v>3638097.9778000009</v>
      </c>
      <c r="I47" s="41">
        <f>'11. Staff'!K40</f>
        <v>4001907.7755800006</v>
      </c>
    </row>
    <row r="48" spans="2:10" ht="13" x14ac:dyDescent="0.15">
      <c r="B48" s="35"/>
      <c r="D48" s="4" t="s">
        <v>137</v>
      </c>
      <c r="E48" s="41"/>
      <c r="F48" s="40"/>
      <c r="G48" s="41"/>
      <c r="H48" s="40"/>
      <c r="I48" s="41"/>
    </row>
    <row r="49" spans="2:11" ht="13" x14ac:dyDescent="0.15">
      <c r="B49" s="35"/>
      <c r="D49" s="4" t="s">
        <v>138</v>
      </c>
      <c r="E49" s="41"/>
      <c r="F49" s="40"/>
      <c r="G49" s="41"/>
      <c r="H49" s="40"/>
      <c r="I49" s="41"/>
    </row>
    <row r="50" spans="2:11" ht="13" x14ac:dyDescent="0.15">
      <c r="B50" s="35"/>
      <c r="D50" s="4" t="s">
        <v>139</v>
      </c>
      <c r="E50" s="41"/>
      <c r="F50" s="40"/>
      <c r="G50" s="41"/>
      <c r="H50" s="40"/>
      <c r="I50" s="41"/>
    </row>
    <row r="51" spans="2:11" ht="13" x14ac:dyDescent="0.15">
      <c r="B51" s="35"/>
      <c r="E51" s="41"/>
      <c r="F51" s="40"/>
      <c r="G51" s="41"/>
      <c r="H51" s="40"/>
      <c r="I51" s="41"/>
    </row>
    <row r="52" spans="2:11" ht="13" x14ac:dyDescent="0.15">
      <c r="B52" s="35"/>
      <c r="E52" s="41"/>
      <c r="F52" s="40"/>
      <c r="G52" s="41"/>
      <c r="H52" s="40"/>
      <c r="I52" s="41"/>
    </row>
    <row r="53" spans="2:11" ht="13" x14ac:dyDescent="0.15">
      <c r="B53" s="35"/>
      <c r="C53" s="4" t="s">
        <v>140</v>
      </c>
      <c r="E53" s="41">
        <f t="shared" ref="E53:I53" si="9">SUM(E46:E50)</f>
        <v>2412823.7999999998</v>
      </c>
      <c r="F53" s="41">
        <f t="shared" si="9"/>
        <v>2654107.2800000003</v>
      </c>
      <c r="G53" s="41">
        <f t="shared" si="9"/>
        <v>4161017.898</v>
      </c>
      <c r="H53" s="41">
        <f t="shared" si="9"/>
        <v>4577119.577800001</v>
      </c>
      <c r="I53" s="41">
        <f t="shared" si="9"/>
        <v>5034831.4255800005</v>
      </c>
    </row>
    <row r="54" spans="2:11" ht="13" x14ac:dyDescent="0.15">
      <c r="B54" s="33" t="s">
        <v>141</v>
      </c>
      <c r="C54" s="46"/>
      <c r="D54" s="46"/>
      <c r="E54" s="48">
        <f t="shared" ref="E54:I54" si="10">E42+E44+E53</f>
        <v>2522076.9336898392</v>
      </c>
      <c r="F54" s="48">
        <f t="shared" si="10"/>
        <v>2654107.2800000003</v>
      </c>
      <c r="G54" s="48">
        <f t="shared" si="10"/>
        <v>4161017.898</v>
      </c>
      <c r="H54" s="48">
        <f t="shared" si="10"/>
        <v>4577119.577800001</v>
      </c>
      <c r="I54" s="48">
        <f t="shared" si="10"/>
        <v>5034831.4255800005</v>
      </c>
    </row>
    <row r="55" spans="2:11" ht="13" x14ac:dyDescent="0.15">
      <c r="B55" s="52"/>
      <c r="C55" s="53"/>
      <c r="D55" s="53"/>
      <c r="E55" s="42"/>
      <c r="F55" s="54"/>
      <c r="G55" s="42"/>
      <c r="H55" s="54"/>
      <c r="I55" s="42"/>
    </row>
    <row r="56" spans="2:11" ht="13" x14ac:dyDescent="0.15">
      <c r="B56" s="55" t="s">
        <v>87</v>
      </c>
      <c r="E56" s="41">
        <f t="shared" ref="E56:I56" si="11">E36-E54</f>
        <v>6101088.0591469882</v>
      </c>
      <c r="F56" s="41">
        <f t="shared" si="11"/>
        <v>17235656.520543769</v>
      </c>
      <c r="G56" s="41">
        <f t="shared" si="11"/>
        <v>32914493.381964549</v>
      </c>
      <c r="H56" s="41">
        <f t="shared" si="11"/>
        <v>70521679.174375087</v>
      </c>
      <c r="I56" s="41">
        <f t="shared" si="11"/>
        <v>142137215.15050504</v>
      </c>
    </row>
    <row r="57" spans="2:11" ht="13" x14ac:dyDescent="0.15">
      <c r="B57" s="49"/>
      <c r="C57" s="56" t="s">
        <v>142</v>
      </c>
      <c r="D57" s="50"/>
      <c r="E57" s="39"/>
      <c r="F57" s="51"/>
      <c r="G57" s="39"/>
      <c r="H57" s="51"/>
      <c r="I57" s="39"/>
    </row>
    <row r="58" spans="2:11" ht="13" x14ac:dyDescent="0.15">
      <c r="B58" s="35"/>
      <c r="D58" s="4" t="s">
        <v>143</v>
      </c>
      <c r="E58" s="41"/>
      <c r="F58" s="40"/>
      <c r="G58" s="41"/>
      <c r="H58" s="40"/>
      <c r="I58" s="41"/>
    </row>
    <row r="59" spans="2:11" ht="13" x14ac:dyDescent="0.15">
      <c r="B59" s="35"/>
      <c r="D59" s="4" t="s">
        <v>144</v>
      </c>
      <c r="E59" s="41"/>
      <c r="F59" s="40"/>
      <c r="G59" s="41"/>
      <c r="H59" s="40"/>
      <c r="I59" s="41"/>
    </row>
    <row r="60" spans="2:11" ht="13" x14ac:dyDescent="0.15">
      <c r="B60" s="35"/>
      <c r="C60" s="4" t="s">
        <v>88</v>
      </c>
      <c r="E60" s="41"/>
      <c r="F60" s="40"/>
      <c r="G60" s="41"/>
      <c r="H60" s="40"/>
      <c r="I60" s="41"/>
    </row>
    <row r="61" spans="2:11" ht="13" x14ac:dyDescent="0.15">
      <c r="B61" s="52"/>
      <c r="C61" s="53"/>
      <c r="D61" s="53"/>
      <c r="E61" s="42"/>
      <c r="F61" s="54"/>
      <c r="G61" s="42"/>
      <c r="H61" s="54"/>
      <c r="I61" s="42"/>
    </row>
    <row r="62" spans="2:11" ht="13" x14ac:dyDescent="0.15">
      <c r="B62" s="32" t="s">
        <v>91</v>
      </c>
      <c r="C62" s="46"/>
      <c r="D62" s="46"/>
      <c r="E62" s="48">
        <f t="shared" ref="E62:I62" si="12">E56</f>
        <v>6101088.0591469882</v>
      </c>
      <c r="F62" s="48">
        <f t="shared" si="12"/>
        <v>17235656.520543769</v>
      </c>
      <c r="G62" s="48">
        <f t="shared" si="12"/>
        <v>32914493.381964549</v>
      </c>
      <c r="H62" s="48">
        <f t="shared" si="12"/>
        <v>70521679.174375087</v>
      </c>
      <c r="I62" s="48">
        <f t="shared" si="12"/>
        <v>142137215.15050504</v>
      </c>
    </row>
    <row r="63" spans="2:11" ht="15.75" customHeight="1" x14ac:dyDescent="0.2">
      <c r="B63" s="49"/>
      <c r="C63" s="56" t="s">
        <v>145</v>
      </c>
      <c r="D63" s="50"/>
      <c r="E63" s="57">
        <f t="shared" ref="E63:I63" si="13">(E62/E26)*100</f>
        <v>66.694499154327161</v>
      </c>
      <c r="F63" s="57">
        <f t="shared" si="13"/>
        <v>84.428866669989816</v>
      </c>
      <c r="G63" s="57">
        <f t="shared" si="13"/>
        <v>86.701143967582055</v>
      </c>
      <c r="H63" s="57">
        <f t="shared" si="13"/>
        <v>92.808233821456355</v>
      </c>
      <c r="I63" s="57">
        <f t="shared" si="13"/>
        <v>95.92802109564127</v>
      </c>
      <c r="K63" s="58"/>
    </row>
    <row r="64" spans="2:11" ht="13" x14ac:dyDescent="0.15">
      <c r="B64" s="35"/>
      <c r="E64" s="41"/>
      <c r="F64" s="40"/>
      <c r="G64" s="41"/>
      <c r="H64" s="40"/>
      <c r="I64" s="41"/>
    </row>
    <row r="65" spans="2:14" ht="13" x14ac:dyDescent="0.15">
      <c r="B65" s="35" t="s">
        <v>146</v>
      </c>
      <c r="E65" s="41">
        <f t="shared" ref="E65:I65" si="14">E26-E28-E54</f>
        <v>6484088.0591469882</v>
      </c>
      <c r="F65" s="41">
        <f t="shared" si="14"/>
        <v>17618656.520543769</v>
      </c>
      <c r="G65" s="41">
        <f t="shared" si="14"/>
        <v>33660493.381964549</v>
      </c>
      <c r="H65" s="41">
        <f t="shared" si="14"/>
        <v>71267679.174375087</v>
      </c>
      <c r="I65" s="41">
        <f t="shared" si="14"/>
        <v>142994215.15050504</v>
      </c>
    </row>
    <row r="66" spans="2:14" ht="15.75" customHeight="1" x14ac:dyDescent="0.2">
      <c r="B66" s="35"/>
      <c r="C66" s="4" t="s">
        <v>147</v>
      </c>
      <c r="E66" s="59">
        <f>IF(E65&lt;=0, 0, (E65 - MIN(0.8 * E65, E67)) * 0.21)</f>
        <v>1361658.4924208676</v>
      </c>
      <c r="F66" s="37">
        <f t="shared" ref="F66:I66" si="15">IF(F65&lt;=0, 0, (F65 - MIN(0.8 * F65, E67)) * 0.21)</f>
        <v>3699917.8693141914</v>
      </c>
      <c r="G66" s="37">
        <f t="shared" si="15"/>
        <v>7068703.6102125552</v>
      </c>
      <c r="H66" s="37">
        <f t="shared" si="15"/>
        <v>14966212.626618767</v>
      </c>
      <c r="I66" s="37">
        <f t="shared" si="15"/>
        <v>30028785.181606058</v>
      </c>
      <c r="J66" s="4"/>
    </row>
    <row r="67" spans="2:14" ht="13" x14ac:dyDescent="0.15">
      <c r="B67" s="35"/>
      <c r="C67" s="4" t="s">
        <v>148</v>
      </c>
      <c r="E67" s="41">
        <f>IF(E65&lt;0, -E65, 0)</f>
        <v>0</v>
      </c>
      <c r="F67" s="37">
        <f t="shared" ref="F67:I67" si="16">MAX(0, E67 + IF(F65&lt;0, -F65, -MIN(0.8 * F65, E67)))</f>
        <v>0</v>
      </c>
      <c r="G67" s="37">
        <f t="shared" si="16"/>
        <v>0</v>
      </c>
      <c r="H67" s="37">
        <f t="shared" si="16"/>
        <v>0</v>
      </c>
      <c r="I67" s="37">
        <f t="shared" si="16"/>
        <v>0</v>
      </c>
      <c r="M67" s="4"/>
    </row>
    <row r="68" spans="2:14" ht="13" x14ac:dyDescent="0.15">
      <c r="B68" s="52"/>
      <c r="C68" s="53" t="s">
        <v>149</v>
      </c>
      <c r="D68" s="53"/>
      <c r="E68" s="42">
        <f t="shared" ref="E68:I68" si="17">MAX(0, E65 * 0.305)</f>
        <v>1977646.8580398313</v>
      </c>
      <c r="F68" s="42">
        <f t="shared" si="17"/>
        <v>5373690.2387658497</v>
      </c>
      <c r="G68" s="42">
        <f t="shared" si="17"/>
        <v>10266450.481499188</v>
      </c>
      <c r="H68" s="42">
        <f t="shared" si="17"/>
        <v>21736642.1481844</v>
      </c>
      <c r="I68" s="42">
        <f t="shared" si="17"/>
        <v>43613235.620904036</v>
      </c>
      <c r="M68" s="60"/>
      <c r="N68" s="60"/>
    </row>
    <row r="69" spans="2:14" ht="13" x14ac:dyDescent="0.15">
      <c r="B69" s="32" t="s">
        <v>90</v>
      </c>
      <c r="C69" s="46"/>
      <c r="D69" s="46"/>
      <c r="E69" s="48">
        <f t="shared" ref="E69:I69" si="18">E65-E66</f>
        <v>5122429.5667261202</v>
      </c>
      <c r="F69" s="48">
        <f t="shared" si="18"/>
        <v>13918738.651229577</v>
      </c>
      <c r="G69" s="48">
        <f t="shared" si="18"/>
        <v>26591789.771751992</v>
      </c>
      <c r="H69" s="48">
        <f t="shared" si="18"/>
        <v>56301466.547756322</v>
      </c>
      <c r="I69" s="48">
        <f t="shared" si="18"/>
        <v>112965429.96889898</v>
      </c>
    </row>
  </sheetData>
  <mergeCells count="2">
    <mergeCell ref="B3:I4"/>
    <mergeCell ref="J6:J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B4:H45"/>
  <sheetViews>
    <sheetView workbookViewId="0">
      <selection activeCell="B43" sqref="B43:C43"/>
    </sheetView>
  </sheetViews>
  <sheetFormatPr baseColWidth="10" defaultColWidth="12.6640625" defaultRowHeight="15.75" customHeight="1" x14ac:dyDescent="0.15"/>
  <cols>
    <col min="3" max="3" width="24" customWidth="1"/>
    <col min="4" max="4" width="14.1640625" bestFit="1" customWidth="1"/>
    <col min="5" max="5" width="15.1640625" bestFit="1" customWidth="1"/>
    <col min="6" max="7" width="15.83203125" customWidth="1"/>
    <col min="8" max="8" width="16.1640625" bestFit="1" customWidth="1"/>
  </cols>
  <sheetData>
    <row r="4" spans="2:8" ht="15.75" customHeight="1" x14ac:dyDescent="0.15">
      <c r="B4" s="207" t="s">
        <v>150</v>
      </c>
      <c r="C4" s="190"/>
      <c r="D4" s="190"/>
      <c r="E4" s="190"/>
      <c r="F4" s="190"/>
      <c r="G4" s="190"/>
      <c r="H4" s="191"/>
    </row>
    <row r="5" spans="2:8" ht="15.75" customHeight="1" x14ac:dyDescent="0.15">
      <c r="B5" s="192"/>
      <c r="C5" s="193"/>
      <c r="D5" s="193"/>
      <c r="E5" s="193"/>
      <c r="F5" s="193"/>
      <c r="G5" s="193"/>
      <c r="H5" s="194"/>
    </row>
    <row r="6" spans="2:8" ht="15.75" customHeight="1" x14ac:dyDescent="0.15">
      <c r="B6" s="10"/>
      <c r="C6" s="11"/>
      <c r="D6" s="12" t="s">
        <v>78</v>
      </c>
      <c r="E6" s="12" t="s">
        <v>79</v>
      </c>
      <c r="F6" s="12" t="s">
        <v>80</v>
      </c>
      <c r="G6" s="12" t="s">
        <v>81</v>
      </c>
      <c r="H6" s="12" t="s">
        <v>82</v>
      </c>
    </row>
    <row r="7" spans="2:8" ht="15.75" customHeight="1" x14ac:dyDescent="0.15">
      <c r="B7" s="202" t="s">
        <v>151</v>
      </c>
      <c r="C7" s="203"/>
      <c r="D7" s="61"/>
      <c r="E7" s="28"/>
      <c r="F7" s="28"/>
      <c r="G7" s="28"/>
      <c r="H7" s="28"/>
    </row>
    <row r="8" spans="2:8" ht="15.75" customHeight="1" x14ac:dyDescent="0.15">
      <c r="B8" s="16"/>
      <c r="C8" s="62" t="s">
        <v>152</v>
      </c>
      <c r="D8" s="63">
        <f>'9. Cash Flow'!E36</f>
        <v>6501489.65672612</v>
      </c>
      <c r="E8" s="63">
        <f>'9. Cash Flow'!F36</f>
        <v>20420228.307955697</v>
      </c>
      <c r="F8" s="63">
        <f>'9. Cash Flow'!G36</f>
        <v>47012018.07970769</v>
      </c>
      <c r="G8" s="63">
        <f>'9. Cash Flow'!H36</f>
        <v>103313484.62746401</v>
      </c>
      <c r="H8" s="63">
        <f>'9. Cash Flow'!I36</f>
        <v>216278914.59636301</v>
      </c>
    </row>
    <row r="9" spans="2:8" ht="15.75" customHeight="1" x14ac:dyDescent="0.15">
      <c r="B9" s="16"/>
      <c r="C9" s="64" t="s">
        <v>153</v>
      </c>
      <c r="D9" s="61"/>
      <c r="E9" s="28"/>
      <c r="F9" s="28"/>
      <c r="G9" s="28"/>
      <c r="H9" s="28"/>
    </row>
    <row r="10" spans="2:8" ht="15.75" customHeight="1" x14ac:dyDescent="0.15">
      <c r="B10" s="16"/>
      <c r="C10" s="62" t="s">
        <v>154</v>
      </c>
      <c r="D10" s="65"/>
      <c r="E10" s="21"/>
      <c r="F10" s="21"/>
      <c r="G10" s="21"/>
      <c r="H10" s="21"/>
    </row>
    <row r="11" spans="2:8" ht="15.75" customHeight="1" x14ac:dyDescent="0.15">
      <c r="B11" s="202" t="s">
        <v>93</v>
      </c>
      <c r="C11" s="203"/>
      <c r="D11" s="66">
        <f t="shared" ref="D11:H11" si="0">SUM(D8:D10)</f>
        <v>6501489.65672612</v>
      </c>
      <c r="E11" s="66">
        <f t="shared" si="0"/>
        <v>20420228.307955697</v>
      </c>
      <c r="F11" s="66">
        <f t="shared" si="0"/>
        <v>47012018.07970769</v>
      </c>
      <c r="G11" s="66">
        <f t="shared" si="0"/>
        <v>103313484.62746401</v>
      </c>
      <c r="H11" s="66">
        <f t="shared" si="0"/>
        <v>216278914.59636301</v>
      </c>
    </row>
    <row r="12" spans="2:8" ht="15.75" customHeight="1" x14ac:dyDescent="0.15">
      <c r="B12" s="16"/>
      <c r="C12" s="14"/>
      <c r="D12" s="61"/>
      <c r="E12" s="28"/>
      <c r="F12" s="28"/>
      <c r="G12" s="28"/>
      <c r="H12" s="28"/>
    </row>
    <row r="13" spans="2:8" ht="15.75" customHeight="1" x14ac:dyDescent="0.15">
      <c r="B13" s="202" t="s">
        <v>155</v>
      </c>
      <c r="C13" s="203"/>
      <c r="D13" s="61"/>
      <c r="E13" s="28"/>
      <c r="F13" s="28"/>
      <c r="G13" s="28"/>
      <c r="H13" s="28"/>
    </row>
    <row r="14" spans="2:8" ht="15.75" customHeight="1" x14ac:dyDescent="0.15">
      <c r="B14" s="16"/>
      <c r="C14" s="62" t="s">
        <v>156</v>
      </c>
      <c r="D14" s="63">
        <f>'9. Cash Flow'!E19*-1</f>
        <v>0</v>
      </c>
      <c r="E14" s="63">
        <f>'9. Cash Flow'!F19*-1</f>
        <v>0</v>
      </c>
      <c r="F14" s="63">
        <f>'9. Cash Flow'!G19*-1</f>
        <v>0</v>
      </c>
      <c r="G14" s="63">
        <f>'9. Cash Flow'!H19*-1</f>
        <v>0</v>
      </c>
      <c r="H14" s="63">
        <f>'9. Cash Flow'!I19*-1</f>
        <v>0</v>
      </c>
    </row>
    <row r="15" spans="2:8" ht="15.75" customHeight="1" x14ac:dyDescent="0.15">
      <c r="B15" s="16"/>
      <c r="C15" s="64" t="s">
        <v>157</v>
      </c>
      <c r="D15" s="63">
        <f>'9. Cash Flow'!E11</f>
        <v>0</v>
      </c>
      <c r="E15" s="24">
        <f>D15+'9. Cash Flow'!F11</f>
        <v>0</v>
      </c>
      <c r="F15" s="24">
        <f>E15+'9. Cash Flow'!G11</f>
        <v>0</v>
      </c>
      <c r="G15" s="24">
        <f>F15+'9. Cash Flow'!H11</f>
        <v>0</v>
      </c>
      <c r="H15" s="24">
        <f>G15+'9. Cash Flow'!I11</f>
        <v>0</v>
      </c>
    </row>
    <row r="16" spans="2:8" ht="15.75" customHeight="1" x14ac:dyDescent="0.15">
      <c r="B16" s="202" t="s">
        <v>94</v>
      </c>
      <c r="C16" s="203"/>
      <c r="D16" s="63">
        <f t="shared" ref="D16:H16" si="1">D14-D15</f>
        <v>0</v>
      </c>
      <c r="E16" s="63">
        <f t="shared" si="1"/>
        <v>0</v>
      </c>
      <c r="F16" s="63">
        <f t="shared" si="1"/>
        <v>0</v>
      </c>
      <c r="G16" s="63">
        <f t="shared" si="1"/>
        <v>0</v>
      </c>
      <c r="H16" s="63">
        <f t="shared" si="1"/>
        <v>0</v>
      </c>
    </row>
    <row r="17" spans="2:8" ht="15.75" customHeight="1" x14ac:dyDescent="0.15">
      <c r="B17" s="16"/>
      <c r="C17" s="14"/>
      <c r="D17" s="67"/>
      <c r="E17" s="14"/>
      <c r="F17" s="14"/>
      <c r="G17" s="14"/>
      <c r="H17" s="14"/>
    </row>
    <row r="18" spans="2:8" ht="15.75" customHeight="1" x14ac:dyDescent="0.15">
      <c r="B18" s="202" t="s">
        <v>158</v>
      </c>
      <c r="C18" s="203"/>
      <c r="D18" s="67"/>
      <c r="E18" s="14"/>
      <c r="F18" s="14"/>
      <c r="G18" s="14"/>
      <c r="H18" s="14"/>
    </row>
    <row r="19" spans="2:8" ht="15.75" customHeight="1" x14ac:dyDescent="0.15">
      <c r="B19" s="16"/>
      <c r="C19" s="62" t="s">
        <v>159</v>
      </c>
      <c r="D19" s="67"/>
      <c r="E19" s="14"/>
      <c r="F19" s="14"/>
      <c r="G19" s="14"/>
      <c r="H19" s="14"/>
    </row>
    <row r="20" spans="2:8" ht="15.75" customHeight="1" x14ac:dyDescent="0.15">
      <c r="B20" s="16"/>
      <c r="C20" s="64" t="s">
        <v>160</v>
      </c>
      <c r="D20" s="67"/>
      <c r="E20" s="14"/>
      <c r="F20" s="14"/>
      <c r="G20" s="14"/>
      <c r="H20" s="14"/>
    </row>
    <row r="21" spans="2:8" ht="15.75" customHeight="1" x14ac:dyDescent="0.15">
      <c r="B21" s="202" t="s">
        <v>95</v>
      </c>
      <c r="C21" s="203"/>
      <c r="D21" s="68">
        <f t="shared" ref="D21:H21" si="2">D19+D20</f>
        <v>0</v>
      </c>
      <c r="E21" s="68">
        <f t="shared" si="2"/>
        <v>0</v>
      </c>
      <c r="F21" s="68">
        <f t="shared" si="2"/>
        <v>0</v>
      </c>
      <c r="G21" s="68">
        <f t="shared" si="2"/>
        <v>0</v>
      </c>
      <c r="H21" s="68">
        <f t="shared" si="2"/>
        <v>0</v>
      </c>
    </row>
    <row r="22" spans="2:8" ht="15.75" customHeight="1" x14ac:dyDescent="0.15">
      <c r="B22" s="10"/>
      <c r="C22" s="11"/>
      <c r="D22" s="69"/>
      <c r="E22" s="11"/>
      <c r="F22" s="11"/>
      <c r="G22" s="11"/>
      <c r="H22" s="11"/>
    </row>
    <row r="23" spans="2:8" ht="15.75" customHeight="1" x14ac:dyDescent="0.15">
      <c r="B23" s="205" t="s">
        <v>96</v>
      </c>
      <c r="C23" s="194"/>
      <c r="D23" s="66">
        <f t="shared" ref="D23:H23" si="3">D11+D16+D21</f>
        <v>6501489.65672612</v>
      </c>
      <c r="E23" s="66">
        <f t="shared" si="3"/>
        <v>20420228.307955697</v>
      </c>
      <c r="F23" s="66">
        <f t="shared" si="3"/>
        <v>47012018.07970769</v>
      </c>
      <c r="G23" s="66">
        <f t="shared" si="3"/>
        <v>103313484.62746401</v>
      </c>
      <c r="H23" s="66">
        <f t="shared" si="3"/>
        <v>216278914.59636301</v>
      </c>
    </row>
    <row r="24" spans="2:8" ht="15.75" customHeight="1" x14ac:dyDescent="0.15">
      <c r="B24" s="30"/>
      <c r="C24" s="31"/>
      <c r="D24" s="30"/>
      <c r="E24" s="31"/>
      <c r="F24" s="31"/>
      <c r="G24" s="31"/>
      <c r="H24" s="21"/>
    </row>
    <row r="25" spans="2:8" ht="15.75" customHeight="1" x14ac:dyDescent="0.15">
      <c r="B25" s="202" t="s">
        <v>161</v>
      </c>
      <c r="C25" s="203"/>
      <c r="D25" s="67"/>
      <c r="E25" s="14"/>
      <c r="F25" s="14"/>
      <c r="G25" s="14"/>
      <c r="H25" s="14"/>
    </row>
    <row r="26" spans="2:8" ht="15.75" customHeight="1" x14ac:dyDescent="0.15">
      <c r="B26" s="16"/>
      <c r="C26" s="64" t="s">
        <v>162</v>
      </c>
      <c r="D26" s="67"/>
      <c r="E26" s="14"/>
      <c r="F26" s="14"/>
      <c r="G26" s="14"/>
      <c r="H26" s="14"/>
    </row>
    <row r="27" spans="2:8" ht="15.75" customHeight="1" x14ac:dyDescent="0.15">
      <c r="B27" s="16"/>
      <c r="C27" s="64" t="s">
        <v>163</v>
      </c>
      <c r="D27" s="67"/>
      <c r="E27" s="14"/>
      <c r="F27" s="14"/>
      <c r="G27" s="14"/>
      <c r="H27" s="14"/>
    </row>
    <row r="28" spans="2:8" ht="15.75" customHeight="1" x14ac:dyDescent="0.15">
      <c r="B28" s="16"/>
      <c r="C28" s="64" t="s">
        <v>164</v>
      </c>
      <c r="D28" s="67"/>
      <c r="E28" s="14"/>
      <c r="F28" s="14"/>
      <c r="G28" s="14"/>
      <c r="H28" s="14"/>
    </row>
    <row r="29" spans="2:8" ht="15.75" customHeight="1" x14ac:dyDescent="0.15">
      <c r="B29" s="202" t="s">
        <v>97</v>
      </c>
      <c r="C29" s="203"/>
      <c r="D29" s="68">
        <f t="shared" ref="D29:H29" si="4">SUM(D26:D28)</f>
        <v>0</v>
      </c>
      <c r="E29" s="68">
        <f t="shared" si="4"/>
        <v>0</v>
      </c>
      <c r="F29" s="68">
        <f t="shared" si="4"/>
        <v>0</v>
      </c>
      <c r="G29" s="68">
        <f t="shared" si="4"/>
        <v>0</v>
      </c>
      <c r="H29" s="68">
        <f t="shared" si="4"/>
        <v>0</v>
      </c>
    </row>
    <row r="30" spans="2:8" ht="15.75" customHeight="1" x14ac:dyDescent="0.15">
      <c r="B30" s="16"/>
      <c r="C30" s="14"/>
      <c r="D30" s="67"/>
      <c r="E30" s="14"/>
      <c r="F30" s="14"/>
      <c r="G30" s="14"/>
      <c r="H30" s="14"/>
    </row>
    <row r="31" spans="2:8" ht="15.75" customHeight="1" x14ac:dyDescent="0.15">
      <c r="B31" s="202" t="s">
        <v>165</v>
      </c>
      <c r="C31" s="203"/>
      <c r="D31" s="67"/>
      <c r="E31" s="14"/>
      <c r="F31" s="14"/>
      <c r="G31" s="14"/>
      <c r="H31" s="14"/>
    </row>
    <row r="32" spans="2:8" ht="15.75" customHeight="1" x14ac:dyDescent="0.15">
      <c r="B32" s="16"/>
      <c r="C32" s="64" t="s">
        <v>166</v>
      </c>
      <c r="D32" s="67"/>
      <c r="E32" s="14"/>
      <c r="F32" s="14"/>
      <c r="G32" s="14"/>
      <c r="H32" s="14"/>
    </row>
    <row r="33" spans="2:8" ht="15.75" customHeight="1" x14ac:dyDescent="0.15">
      <c r="B33" s="202" t="s">
        <v>167</v>
      </c>
      <c r="C33" s="203"/>
      <c r="D33" s="67">
        <f t="shared" ref="D33:H33" si="5">D32</f>
        <v>0</v>
      </c>
      <c r="E33" s="67">
        <f t="shared" si="5"/>
        <v>0</v>
      </c>
      <c r="F33" s="67">
        <f t="shared" si="5"/>
        <v>0</v>
      </c>
      <c r="G33" s="67">
        <f t="shared" si="5"/>
        <v>0</v>
      </c>
      <c r="H33" s="67">
        <f t="shared" si="5"/>
        <v>0</v>
      </c>
    </row>
    <row r="34" spans="2:8" ht="15.75" customHeight="1" x14ac:dyDescent="0.15">
      <c r="B34" s="206" t="s">
        <v>168</v>
      </c>
      <c r="C34" s="194"/>
      <c r="D34" s="70">
        <f t="shared" ref="D34:H34" si="6">D29+D33</f>
        <v>0</v>
      </c>
      <c r="E34" s="70">
        <f t="shared" si="6"/>
        <v>0</v>
      </c>
      <c r="F34" s="70">
        <f t="shared" si="6"/>
        <v>0</v>
      </c>
      <c r="G34" s="70">
        <f t="shared" si="6"/>
        <v>0</v>
      </c>
      <c r="H34" s="70">
        <f t="shared" si="6"/>
        <v>0</v>
      </c>
    </row>
    <row r="35" spans="2:8" ht="15.75" customHeight="1" x14ac:dyDescent="0.15">
      <c r="B35" s="30"/>
      <c r="C35" s="31"/>
      <c r="D35" s="30"/>
      <c r="E35" s="31"/>
      <c r="F35" s="31"/>
      <c r="G35" s="31"/>
      <c r="H35" s="21"/>
    </row>
    <row r="36" spans="2:8" ht="15.75" customHeight="1" x14ac:dyDescent="0.15">
      <c r="B36" s="202" t="s">
        <v>169</v>
      </c>
      <c r="C36" s="203"/>
      <c r="D36" s="61"/>
      <c r="E36" s="28"/>
      <c r="F36" s="28"/>
      <c r="G36" s="28"/>
      <c r="H36" s="28"/>
    </row>
    <row r="37" spans="2:8" ht="15.75" customHeight="1" x14ac:dyDescent="0.15">
      <c r="B37" s="16"/>
      <c r="C37" s="64" t="s">
        <v>170</v>
      </c>
      <c r="D37" s="71"/>
      <c r="E37" s="71"/>
      <c r="F37" s="71"/>
      <c r="G37" s="71"/>
      <c r="H37" s="71"/>
    </row>
    <row r="38" spans="2:8" ht="15.75" customHeight="1" x14ac:dyDescent="0.15">
      <c r="B38" s="16"/>
      <c r="C38" s="64" t="s">
        <v>171</v>
      </c>
      <c r="D38" s="61"/>
      <c r="E38" s="28"/>
      <c r="F38" s="28"/>
      <c r="G38" s="28"/>
      <c r="H38" s="28"/>
    </row>
    <row r="39" spans="2:8" ht="15.75" customHeight="1" x14ac:dyDescent="0.15">
      <c r="B39" s="16"/>
      <c r="C39" s="64" t="s">
        <v>172</v>
      </c>
      <c r="D39" s="71">
        <f>'8. Founders Initial Investment'!$B$3</f>
        <v>1379060.09</v>
      </c>
      <c r="E39" s="71">
        <f>'8. Founders Initial Investment'!$B$3</f>
        <v>1379060.09</v>
      </c>
      <c r="F39" s="71">
        <f>'8. Founders Initial Investment'!$B$3</f>
        <v>1379060.09</v>
      </c>
      <c r="G39" s="71">
        <f>'8. Founders Initial Investment'!$B$3</f>
        <v>1379060.09</v>
      </c>
      <c r="H39" s="71">
        <f>'8. Founders Initial Investment'!$B$3</f>
        <v>1379060.09</v>
      </c>
    </row>
    <row r="40" spans="2:8" ht="15.75" customHeight="1" x14ac:dyDescent="0.15">
      <c r="B40" s="16"/>
      <c r="C40" s="64" t="s">
        <v>173</v>
      </c>
      <c r="D40" s="71">
        <f>'6. Income Statement'!E69</f>
        <v>5122429.5667261202</v>
      </c>
      <c r="E40" s="71">
        <f>D40+'6. Income Statement'!F69</f>
        <v>19041168.217955697</v>
      </c>
      <c r="F40" s="71">
        <f>E40+'6. Income Statement'!G69</f>
        <v>45632957.989707693</v>
      </c>
      <c r="G40" s="71">
        <f>F40+'6. Income Statement'!H69</f>
        <v>101934424.53746402</v>
      </c>
      <c r="H40" s="71">
        <f>G40+'6. Income Statement'!I69</f>
        <v>214899854.506363</v>
      </c>
    </row>
    <row r="41" spans="2:8" ht="15.75" customHeight="1" x14ac:dyDescent="0.15">
      <c r="B41" s="202" t="s">
        <v>99</v>
      </c>
      <c r="C41" s="203"/>
      <c r="D41" s="71">
        <f t="shared" ref="D41:H41" si="7">SUM(D37:D40)</f>
        <v>6501489.65672612</v>
      </c>
      <c r="E41" s="71">
        <f t="shared" si="7"/>
        <v>20420228.307955697</v>
      </c>
      <c r="F41" s="71">
        <f t="shared" si="7"/>
        <v>47012018.079707697</v>
      </c>
      <c r="G41" s="71">
        <f t="shared" si="7"/>
        <v>103313484.62746403</v>
      </c>
      <c r="H41" s="71">
        <f t="shared" si="7"/>
        <v>216278914.59636301</v>
      </c>
    </row>
    <row r="42" spans="2:8" ht="15.75" customHeight="1" x14ac:dyDescent="0.15">
      <c r="B42" s="16"/>
      <c r="C42" s="14"/>
      <c r="D42" s="61"/>
      <c r="E42" s="28"/>
      <c r="F42" s="28"/>
      <c r="G42" s="28"/>
      <c r="H42" s="28"/>
    </row>
    <row r="43" spans="2:8" ht="15.75" customHeight="1" x14ac:dyDescent="0.15">
      <c r="B43" s="202" t="s">
        <v>100</v>
      </c>
      <c r="C43" s="203"/>
      <c r="D43" s="63">
        <f t="shared" ref="D43:H43" si="8">D34+D41</f>
        <v>6501489.65672612</v>
      </c>
      <c r="E43" s="63">
        <f t="shared" si="8"/>
        <v>20420228.307955697</v>
      </c>
      <c r="F43" s="63">
        <f t="shared" si="8"/>
        <v>47012018.079707697</v>
      </c>
      <c r="G43" s="63">
        <f t="shared" si="8"/>
        <v>103313484.62746403</v>
      </c>
      <c r="H43" s="63">
        <f t="shared" si="8"/>
        <v>216278914.59636301</v>
      </c>
    </row>
    <row r="44" spans="2:8" ht="15.75" customHeight="1" x14ac:dyDescent="0.15">
      <c r="B44" s="204" t="s">
        <v>174</v>
      </c>
      <c r="C44" s="194"/>
      <c r="D44" s="66">
        <f t="shared" ref="D44:H44" si="9">D23-D43</f>
        <v>0</v>
      </c>
      <c r="E44" s="66">
        <f t="shared" si="9"/>
        <v>0</v>
      </c>
      <c r="F44" s="66">
        <f t="shared" si="9"/>
        <v>0</v>
      </c>
      <c r="G44" s="66">
        <f t="shared" si="9"/>
        <v>0</v>
      </c>
      <c r="H44" s="66">
        <f t="shared" si="9"/>
        <v>0</v>
      </c>
    </row>
    <row r="45" spans="2:8" ht="15.75" customHeight="1" x14ac:dyDescent="0.15">
      <c r="B45" s="30"/>
      <c r="C45" s="31"/>
      <c r="D45" s="31"/>
      <c r="E45" s="31"/>
      <c r="F45" s="31"/>
      <c r="G45" s="31"/>
      <c r="H45" s="21"/>
    </row>
  </sheetData>
  <mergeCells count="17">
    <mergeCell ref="B4:H5"/>
    <mergeCell ref="B7:C7"/>
    <mergeCell ref="B11:C11"/>
    <mergeCell ref="B13:C13"/>
    <mergeCell ref="B16:C16"/>
    <mergeCell ref="B18:C18"/>
    <mergeCell ref="B21:C21"/>
    <mergeCell ref="B41:C41"/>
    <mergeCell ref="B43:C43"/>
    <mergeCell ref="B44:C44"/>
    <mergeCell ref="B23:C23"/>
    <mergeCell ref="B25:C25"/>
    <mergeCell ref="B29:C29"/>
    <mergeCell ref="B31:C31"/>
    <mergeCell ref="B33:C33"/>
    <mergeCell ref="B34:C34"/>
    <mergeCell ref="B36:C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2:B3"/>
  <sheetViews>
    <sheetView workbookViewId="0">
      <selection activeCell="C7" sqref="C7"/>
    </sheetView>
  </sheetViews>
  <sheetFormatPr baseColWidth="10" defaultColWidth="12.6640625" defaultRowHeight="15.75" customHeight="1" x14ac:dyDescent="0.15"/>
  <cols>
    <col min="1" max="1" width="19.83203125" customWidth="1"/>
    <col min="2" max="2" width="13.6640625" bestFit="1" customWidth="1"/>
  </cols>
  <sheetData>
    <row r="2" spans="1:2" ht="15.75" customHeight="1" x14ac:dyDescent="0.15">
      <c r="A2" s="208" t="s">
        <v>316</v>
      </c>
      <c r="B2" s="209"/>
    </row>
    <row r="3" spans="1:2" ht="15.75" customHeight="1" x14ac:dyDescent="0.15">
      <c r="A3" s="101" t="s">
        <v>317</v>
      </c>
      <c r="B3" s="186">
        <v>1379060.09</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B5:I37"/>
  <sheetViews>
    <sheetView workbookViewId="0"/>
  </sheetViews>
  <sheetFormatPr baseColWidth="10" defaultColWidth="12.6640625" defaultRowHeight="15.75" customHeight="1" x14ac:dyDescent="0.15"/>
  <cols>
    <col min="2" max="2" width="7.83203125" customWidth="1"/>
    <col min="3" max="3" width="8.1640625" customWidth="1"/>
    <col min="4" max="4" width="26.33203125" customWidth="1"/>
    <col min="5" max="5" width="15.6640625" customWidth="1"/>
    <col min="6" max="6" width="16" customWidth="1"/>
    <col min="7" max="7" width="15.1640625" customWidth="1"/>
    <col min="8" max="8" width="17" customWidth="1"/>
    <col min="9" max="9" width="16" customWidth="1"/>
  </cols>
  <sheetData>
    <row r="5" spans="2:9" ht="13" x14ac:dyDescent="0.15">
      <c r="B5" s="216" t="s">
        <v>175</v>
      </c>
      <c r="C5" s="190"/>
      <c r="D5" s="190"/>
      <c r="E5" s="190"/>
      <c r="F5" s="190"/>
      <c r="G5" s="190"/>
      <c r="H5" s="190"/>
      <c r="I5" s="191"/>
    </row>
    <row r="6" spans="2:9" ht="13" x14ac:dyDescent="0.15">
      <c r="B6" s="192"/>
      <c r="C6" s="193"/>
      <c r="D6" s="193"/>
      <c r="E6" s="193"/>
      <c r="F6" s="193"/>
      <c r="G6" s="193"/>
      <c r="H6" s="193"/>
      <c r="I6" s="194"/>
    </row>
    <row r="7" spans="2:9" ht="13" x14ac:dyDescent="0.15">
      <c r="B7" s="212"/>
      <c r="C7" s="201"/>
      <c r="D7" s="14"/>
      <c r="E7" s="55" t="s">
        <v>78</v>
      </c>
      <c r="F7" s="55" t="s">
        <v>79</v>
      </c>
      <c r="G7" s="55" t="s">
        <v>80</v>
      </c>
      <c r="H7" s="55" t="s">
        <v>81</v>
      </c>
      <c r="I7" s="55" t="s">
        <v>82</v>
      </c>
    </row>
    <row r="8" spans="2:9" ht="13" x14ac:dyDescent="0.15">
      <c r="B8" s="214" t="s">
        <v>176</v>
      </c>
      <c r="C8" s="201"/>
      <c r="D8" s="203"/>
      <c r="E8" s="61"/>
      <c r="F8" s="28"/>
      <c r="G8" s="28"/>
      <c r="H8" s="28"/>
      <c r="I8" s="28"/>
    </row>
    <row r="9" spans="2:9" ht="13" x14ac:dyDescent="0.15">
      <c r="B9" s="16"/>
      <c r="C9" s="72" t="s">
        <v>90</v>
      </c>
      <c r="D9" s="14"/>
      <c r="E9" s="71">
        <f>'6. Income Statement'!E69</f>
        <v>5122429.5667261202</v>
      </c>
      <c r="F9" s="71">
        <f>'6. Income Statement'!F69</f>
        <v>13918738.651229577</v>
      </c>
      <c r="G9" s="71">
        <f>'6. Income Statement'!G69</f>
        <v>26591789.771751992</v>
      </c>
      <c r="H9" s="71">
        <f>'6. Income Statement'!H69</f>
        <v>56301466.547756322</v>
      </c>
      <c r="I9" s="71">
        <f>'6. Income Statement'!I69</f>
        <v>112965429.96889898</v>
      </c>
    </row>
    <row r="10" spans="2:9" ht="13" x14ac:dyDescent="0.15">
      <c r="B10" s="16"/>
      <c r="C10" s="72" t="s">
        <v>177</v>
      </c>
      <c r="D10" s="14"/>
      <c r="E10" s="61"/>
      <c r="F10" s="28"/>
      <c r="G10" s="28"/>
      <c r="H10" s="28"/>
      <c r="I10" s="28"/>
    </row>
    <row r="11" spans="2:9" ht="13" x14ac:dyDescent="0.15">
      <c r="B11" s="212"/>
      <c r="C11" s="201"/>
      <c r="D11" s="72" t="s">
        <v>178</v>
      </c>
      <c r="E11" s="61"/>
      <c r="F11" s="28"/>
      <c r="G11" s="28"/>
      <c r="H11" s="28"/>
      <c r="I11" s="28"/>
    </row>
    <row r="12" spans="2:9" ht="13" x14ac:dyDescent="0.15">
      <c r="B12" s="16"/>
      <c r="C12" s="72" t="s">
        <v>179</v>
      </c>
      <c r="D12" s="72"/>
      <c r="E12" s="67"/>
      <c r="F12" s="14"/>
      <c r="G12" s="14"/>
      <c r="H12" s="14"/>
      <c r="I12" s="14"/>
    </row>
    <row r="13" spans="2:9" ht="13" x14ac:dyDescent="0.15">
      <c r="B13" s="16"/>
      <c r="C13" s="72" t="s">
        <v>180</v>
      </c>
      <c r="D13" s="14"/>
      <c r="E13" s="67"/>
      <c r="F13" s="14"/>
      <c r="G13" s="14"/>
      <c r="H13" s="14"/>
      <c r="I13" s="14"/>
    </row>
    <row r="14" spans="2:9" ht="13" x14ac:dyDescent="0.15">
      <c r="B14" s="16"/>
      <c r="C14" s="72" t="s">
        <v>181</v>
      </c>
      <c r="D14" s="14"/>
      <c r="E14" s="69"/>
      <c r="F14" s="11"/>
      <c r="G14" s="11"/>
      <c r="H14" s="11"/>
      <c r="I14" s="11"/>
    </row>
    <row r="15" spans="2:9" ht="13" x14ac:dyDescent="0.15">
      <c r="B15" s="214" t="s">
        <v>101</v>
      </c>
      <c r="C15" s="201"/>
      <c r="D15" s="203"/>
      <c r="E15" s="73">
        <f t="shared" ref="E15:I15" si="0">SUM(E9:E14)</f>
        <v>5122429.5667261202</v>
      </c>
      <c r="F15" s="73">
        <f t="shared" si="0"/>
        <v>13918738.651229577</v>
      </c>
      <c r="G15" s="73">
        <f t="shared" si="0"/>
        <v>26591789.771751992</v>
      </c>
      <c r="H15" s="73">
        <f t="shared" si="0"/>
        <v>56301466.547756322</v>
      </c>
      <c r="I15" s="73">
        <f t="shared" si="0"/>
        <v>112965429.96889898</v>
      </c>
    </row>
    <row r="16" spans="2:9" ht="13" x14ac:dyDescent="0.15">
      <c r="B16" s="215"/>
      <c r="C16" s="201"/>
      <c r="D16" s="28"/>
      <c r="E16" s="65"/>
      <c r="F16" s="21"/>
      <c r="G16" s="21"/>
      <c r="H16" s="21"/>
      <c r="I16" s="21"/>
    </row>
    <row r="17" spans="2:9" ht="13" x14ac:dyDescent="0.15">
      <c r="B17" s="214" t="s">
        <v>182</v>
      </c>
      <c r="C17" s="201"/>
      <c r="D17" s="203"/>
      <c r="E17" s="67"/>
      <c r="F17" s="14"/>
      <c r="G17" s="14"/>
      <c r="H17" s="14"/>
      <c r="I17" s="14"/>
    </row>
    <row r="18" spans="2:9" ht="13" x14ac:dyDescent="0.15">
      <c r="B18" s="16"/>
      <c r="C18" s="72" t="s">
        <v>183</v>
      </c>
      <c r="D18" s="14"/>
      <c r="E18" s="67"/>
      <c r="F18" s="14"/>
      <c r="G18" s="14"/>
      <c r="H18" s="14"/>
      <c r="I18" s="14"/>
    </row>
    <row r="19" spans="2:9" ht="13" x14ac:dyDescent="0.15">
      <c r="B19" s="212"/>
      <c r="C19" s="201"/>
      <c r="D19" s="72" t="s">
        <v>184</v>
      </c>
      <c r="E19" s="61"/>
      <c r="F19" s="28"/>
      <c r="G19" s="28"/>
      <c r="H19" s="28"/>
      <c r="I19" s="28"/>
    </row>
    <row r="20" spans="2:9" ht="13" x14ac:dyDescent="0.15">
      <c r="B20" s="212"/>
      <c r="C20" s="201"/>
      <c r="D20" s="14"/>
      <c r="E20" s="65"/>
      <c r="F20" s="21"/>
      <c r="G20" s="21"/>
      <c r="H20" s="21"/>
      <c r="I20" s="21"/>
    </row>
    <row r="21" spans="2:9" ht="13" x14ac:dyDescent="0.15">
      <c r="B21" s="214" t="s">
        <v>102</v>
      </c>
      <c r="C21" s="201"/>
      <c r="D21" s="203"/>
      <c r="E21" s="65">
        <f t="shared" ref="E21:I21" si="1">SUM(E19:E20)</f>
        <v>0</v>
      </c>
      <c r="F21" s="65">
        <f t="shared" si="1"/>
        <v>0</v>
      </c>
      <c r="G21" s="65">
        <f t="shared" si="1"/>
        <v>0</v>
      </c>
      <c r="H21" s="65">
        <f t="shared" si="1"/>
        <v>0</v>
      </c>
      <c r="I21" s="65">
        <f t="shared" si="1"/>
        <v>0</v>
      </c>
    </row>
    <row r="22" spans="2:9" ht="13" x14ac:dyDescent="0.15">
      <c r="B22" s="215"/>
      <c r="C22" s="201"/>
      <c r="D22" s="28"/>
      <c r="E22" s="65"/>
      <c r="F22" s="21"/>
      <c r="G22" s="21"/>
      <c r="H22" s="21"/>
      <c r="I22" s="21"/>
    </row>
    <row r="23" spans="2:9" ht="13" x14ac:dyDescent="0.15">
      <c r="B23" s="214" t="s">
        <v>185</v>
      </c>
      <c r="C23" s="201"/>
      <c r="D23" s="203"/>
      <c r="E23" s="67"/>
      <c r="F23" s="14"/>
      <c r="G23" s="14"/>
      <c r="H23" s="14"/>
      <c r="I23" s="14"/>
    </row>
    <row r="24" spans="2:9" ht="13" x14ac:dyDescent="0.15">
      <c r="B24" s="16"/>
      <c r="C24" s="74" t="s">
        <v>186</v>
      </c>
      <c r="D24" s="14"/>
      <c r="E24" s="67"/>
      <c r="F24" s="14"/>
      <c r="G24" s="14"/>
      <c r="H24" s="14"/>
      <c r="I24" s="14"/>
    </row>
    <row r="25" spans="2:9" ht="15.75" customHeight="1" x14ac:dyDescent="0.2">
      <c r="B25" s="212"/>
      <c r="C25" s="201"/>
      <c r="D25" s="75" t="s">
        <v>187</v>
      </c>
      <c r="E25" s="67"/>
      <c r="F25" s="14"/>
      <c r="G25" s="14"/>
      <c r="H25" s="14"/>
      <c r="I25" s="14"/>
    </row>
    <row r="26" spans="2:9" ht="15.75" customHeight="1" x14ac:dyDescent="0.2">
      <c r="B26" s="212"/>
      <c r="C26" s="201"/>
      <c r="D26" s="75" t="s">
        <v>188</v>
      </c>
      <c r="E26" s="67"/>
      <c r="F26" s="14"/>
      <c r="G26" s="14"/>
      <c r="H26" s="14"/>
      <c r="I26" s="14"/>
    </row>
    <row r="27" spans="2:9" ht="13" x14ac:dyDescent="0.15">
      <c r="B27" s="212"/>
      <c r="C27" s="201"/>
      <c r="D27" s="74" t="s">
        <v>189</v>
      </c>
      <c r="E27" s="67"/>
      <c r="F27" s="14"/>
      <c r="G27" s="14"/>
      <c r="H27" s="14"/>
      <c r="I27" s="14"/>
    </row>
    <row r="28" spans="2:9" ht="13" x14ac:dyDescent="0.15">
      <c r="B28" s="16"/>
      <c r="C28" s="72" t="s">
        <v>190</v>
      </c>
      <c r="D28" s="72"/>
      <c r="E28" s="67"/>
      <c r="F28" s="14"/>
      <c r="G28" s="14"/>
      <c r="H28" s="14"/>
      <c r="I28" s="14"/>
    </row>
    <row r="29" spans="2:9" ht="13" x14ac:dyDescent="0.15">
      <c r="B29" s="16"/>
      <c r="C29" s="213" t="s">
        <v>191</v>
      </c>
      <c r="D29" s="201"/>
      <c r="E29" s="76">
        <f>'8. Founders Initial Investment'!B3</f>
        <v>1379060.09</v>
      </c>
      <c r="F29" s="11"/>
      <c r="G29" s="11"/>
      <c r="H29" s="11"/>
      <c r="I29" s="11"/>
    </row>
    <row r="30" spans="2:9" ht="13" x14ac:dyDescent="0.15">
      <c r="B30" s="214" t="s">
        <v>103</v>
      </c>
      <c r="C30" s="201"/>
      <c r="D30" s="203"/>
      <c r="E30" s="70">
        <f t="shared" ref="E30:I30" si="2">SUM(E25:E29)</f>
        <v>1379060.09</v>
      </c>
      <c r="F30" s="70">
        <f t="shared" si="2"/>
        <v>0</v>
      </c>
      <c r="G30" s="70">
        <f t="shared" si="2"/>
        <v>0</v>
      </c>
      <c r="H30" s="70">
        <f t="shared" si="2"/>
        <v>0</v>
      </c>
      <c r="I30" s="70">
        <f t="shared" si="2"/>
        <v>0</v>
      </c>
    </row>
    <row r="31" spans="2:9" ht="13" x14ac:dyDescent="0.15">
      <c r="B31" s="215"/>
      <c r="C31" s="201"/>
      <c r="D31" s="28"/>
      <c r="E31" s="61"/>
      <c r="F31" s="28"/>
      <c r="G31" s="28"/>
      <c r="H31" s="28"/>
      <c r="I31" s="28"/>
    </row>
    <row r="32" spans="2:9" ht="13" x14ac:dyDescent="0.15">
      <c r="B32" s="214" t="s">
        <v>104</v>
      </c>
      <c r="C32" s="201"/>
      <c r="D32" s="203"/>
      <c r="E32" s="71">
        <f t="shared" ref="E32:I32" si="3">E15+E21+E30</f>
        <v>6501489.65672612</v>
      </c>
      <c r="F32" s="71">
        <f t="shared" si="3"/>
        <v>13918738.651229577</v>
      </c>
      <c r="G32" s="71">
        <f t="shared" si="3"/>
        <v>26591789.771751992</v>
      </c>
      <c r="H32" s="71">
        <f t="shared" si="3"/>
        <v>56301466.547756322</v>
      </c>
      <c r="I32" s="71">
        <f t="shared" si="3"/>
        <v>112965429.96889898</v>
      </c>
    </row>
    <row r="33" spans="2:9" ht="13" x14ac:dyDescent="0.15">
      <c r="B33" s="212"/>
      <c r="C33" s="201"/>
      <c r="D33" s="14"/>
      <c r="E33" s="61" t="s">
        <v>192</v>
      </c>
      <c r="F33" s="28"/>
      <c r="G33" s="28"/>
      <c r="H33" s="28"/>
      <c r="I33" s="28"/>
    </row>
    <row r="34" spans="2:9" ht="13" x14ac:dyDescent="0.15">
      <c r="B34" s="214" t="s">
        <v>193</v>
      </c>
      <c r="C34" s="201"/>
      <c r="D34" s="203"/>
      <c r="E34" s="63">
        <v>0</v>
      </c>
      <c r="F34" s="24">
        <f t="shared" ref="F34:I34" si="4">E36</f>
        <v>6501489.65672612</v>
      </c>
      <c r="G34" s="24">
        <f t="shared" si="4"/>
        <v>20420228.307955697</v>
      </c>
      <c r="H34" s="24">
        <f t="shared" si="4"/>
        <v>47012018.07970769</v>
      </c>
      <c r="I34" s="24">
        <f t="shared" si="4"/>
        <v>103313484.62746401</v>
      </c>
    </row>
    <row r="35" spans="2:9" ht="13" x14ac:dyDescent="0.15">
      <c r="B35" s="212"/>
      <c r="C35" s="201"/>
      <c r="D35" s="14"/>
      <c r="E35" s="65"/>
      <c r="F35" s="21"/>
      <c r="G35" s="21"/>
      <c r="H35" s="21"/>
      <c r="I35" s="21"/>
    </row>
    <row r="36" spans="2:9" ht="13" x14ac:dyDescent="0.15">
      <c r="B36" s="210" t="s">
        <v>194</v>
      </c>
      <c r="C36" s="193"/>
      <c r="D36" s="194"/>
      <c r="E36" s="66">
        <f t="shared" ref="E36:I36" si="5">E34+E32</f>
        <v>6501489.65672612</v>
      </c>
      <c r="F36" s="66">
        <f t="shared" si="5"/>
        <v>20420228.307955697</v>
      </c>
      <c r="G36" s="66">
        <f t="shared" si="5"/>
        <v>47012018.07970769</v>
      </c>
      <c r="H36" s="66">
        <f t="shared" si="5"/>
        <v>103313484.62746401</v>
      </c>
      <c r="I36" s="66">
        <f t="shared" si="5"/>
        <v>216278914.59636301</v>
      </c>
    </row>
    <row r="37" spans="2:9" ht="13" x14ac:dyDescent="0.15">
      <c r="B37" s="211"/>
      <c r="C37" s="193"/>
      <c r="D37" s="31"/>
      <c r="E37" s="31"/>
      <c r="F37" s="31"/>
      <c r="G37" s="31"/>
      <c r="H37" s="31"/>
      <c r="I37" s="21"/>
    </row>
  </sheetData>
  <mergeCells count="24">
    <mergeCell ref="B5:I6"/>
    <mergeCell ref="B7:C7"/>
    <mergeCell ref="B8:D8"/>
    <mergeCell ref="B11:C11"/>
    <mergeCell ref="B15:D15"/>
    <mergeCell ref="B16:C16"/>
    <mergeCell ref="B17:D17"/>
    <mergeCell ref="B19:C19"/>
    <mergeCell ref="B20:C20"/>
    <mergeCell ref="B21:D21"/>
    <mergeCell ref="B22:C22"/>
    <mergeCell ref="B23:D23"/>
    <mergeCell ref="B25:C25"/>
    <mergeCell ref="B26:C26"/>
    <mergeCell ref="B35:C35"/>
    <mergeCell ref="B36:D36"/>
    <mergeCell ref="B37:C37"/>
    <mergeCell ref="B27:C27"/>
    <mergeCell ref="C29:D29"/>
    <mergeCell ref="B30:D30"/>
    <mergeCell ref="B31:C31"/>
    <mergeCell ref="B32:D32"/>
    <mergeCell ref="B33:C33"/>
    <mergeCell ref="B34:D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19</vt:i4>
      </vt:variant>
    </vt:vector>
  </HeadingPairs>
  <TitlesOfParts>
    <vt:vector size="19" baseType="lpstr">
      <vt:lpstr>1. TOC</vt:lpstr>
      <vt:lpstr>2. Assumptions -- Read Me</vt:lpstr>
      <vt:lpstr>3. Summary - Pro Forma</vt:lpstr>
      <vt:lpstr>4. Cap Table</vt:lpstr>
      <vt:lpstr>5. Offering -- 50% to 142%</vt:lpstr>
      <vt:lpstr>6. Income Statement</vt:lpstr>
      <vt:lpstr>7. Balance Sheet</vt:lpstr>
      <vt:lpstr>8. Founders Initial Investment</vt:lpstr>
      <vt:lpstr>9. Cash Flow</vt:lpstr>
      <vt:lpstr>10. Costs</vt:lpstr>
      <vt:lpstr>11. Staff</vt:lpstr>
      <vt:lpstr>12. Revenue Product 1 -- Invest</vt:lpstr>
      <vt:lpstr>13. Revenue Product 2 -- Real E</vt:lpstr>
      <vt:lpstr>14. Revenue Product 3 -- Platfo</vt:lpstr>
      <vt:lpstr>15. Revenue Product 4 -- SaaS W</vt:lpstr>
      <vt:lpstr>16. Revenue Product 5 -- Retain</vt:lpstr>
      <vt:lpstr>17. Worksheet Mareting Costs to</vt:lpstr>
      <vt:lpstr>18. AI and Investment COGS</vt:lpstr>
      <vt:lpstr>19. WorkSheet-Revenue Produ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Pitcher</dc:creator>
  <cp:lastModifiedBy>J. Christian Barlow</cp:lastModifiedBy>
  <dcterms:created xsi:type="dcterms:W3CDTF">2025-12-07T19:46:56Z</dcterms:created>
  <dcterms:modified xsi:type="dcterms:W3CDTF">2026-03-02T14:51:45Z</dcterms:modified>
</cp:coreProperties>
</file>